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98E5E16E-C1EB-45F7-8A48-12D058B670A2}" xr6:coauthVersionLast="47" xr6:coauthVersionMax="47" xr10:uidLastSave="{00000000-0000-0000-0000-000000000000}"/>
  <bookViews>
    <workbookView xWindow="-120" yWindow="-120" windowWidth="29040" windowHeight="15720" firstSheet="2" activeTab="25" xr2:uid="{00000000-000D-0000-FFFF-FFFF00000000}"/>
  </bookViews>
  <sheets>
    <sheet name="01" sheetId="1" r:id="rId1"/>
    <sheet name="02" sheetId="3" r:id="rId2"/>
    <sheet name="03" sheetId="4" r:id="rId3"/>
    <sheet name="04" sheetId="5" r:id="rId4"/>
    <sheet name="05" sheetId="6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1chaitra" sheetId="17" r:id="rId31"/>
    <sheet name="Sheet4" sheetId="19" r:id="rId32"/>
  </sheets>
  <externalReferences>
    <externalReference r:id="rId33"/>
    <externalReference r:id="rId34"/>
  </externalReferences>
  <definedNames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30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30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30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1" i="34" l="1"/>
  <c r="W111" i="34"/>
  <c r="R48" i="34"/>
  <c r="Q111" i="34"/>
  <c r="P111" i="34"/>
  <c r="B108" i="34"/>
  <c r="B82" i="34"/>
  <c r="B98" i="34" s="1"/>
  <c r="B70" i="34"/>
  <c r="B66" i="34"/>
  <c r="B52" i="34"/>
  <c r="B48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D271" i="34"/>
  <c r="C271" i="34"/>
  <c r="B271" i="34"/>
  <c r="A271" i="34"/>
  <c r="AF270" i="34"/>
  <c r="AE270" i="34"/>
  <c r="AD270" i="34"/>
  <c r="AC270" i="34"/>
  <c r="AB270" i="34"/>
  <c r="AA270" i="34"/>
  <c r="Z270" i="34"/>
  <c r="Y270" i="34"/>
  <c r="X270" i="34"/>
  <c r="W270" i="34"/>
  <c r="V270" i="34"/>
  <c r="U270" i="34"/>
  <c r="T270" i="34"/>
  <c r="S270" i="34"/>
  <c r="R270" i="34"/>
  <c r="Q270" i="34"/>
  <c r="P270" i="34"/>
  <c r="O270" i="34"/>
  <c r="N270" i="34"/>
  <c r="M270" i="34"/>
  <c r="L270" i="34"/>
  <c r="K270" i="34"/>
  <c r="J270" i="34"/>
  <c r="I270" i="34"/>
  <c r="H270" i="34"/>
  <c r="G270" i="34"/>
  <c r="F270" i="34"/>
  <c r="E270" i="34"/>
  <c r="D270" i="34"/>
  <c r="C270" i="34"/>
  <c r="B270" i="34"/>
  <c r="A270" i="34"/>
  <c r="AF269" i="34"/>
  <c r="AE269" i="34"/>
  <c r="AD269" i="34"/>
  <c r="AC269" i="34"/>
  <c r="AB269" i="34"/>
  <c r="AA269" i="34"/>
  <c r="Z269" i="34"/>
  <c r="Y269" i="34"/>
  <c r="X269" i="34"/>
  <c r="W269" i="34"/>
  <c r="V269" i="34"/>
  <c r="U269" i="34"/>
  <c r="T269" i="34"/>
  <c r="S269" i="34"/>
  <c r="R269" i="34"/>
  <c r="Q269" i="34"/>
  <c r="P269" i="34"/>
  <c r="O269" i="34"/>
  <c r="N269" i="34"/>
  <c r="M269" i="34"/>
  <c r="L269" i="34"/>
  <c r="K269" i="34"/>
  <c r="J269" i="34"/>
  <c r="I269" i="34"/>
  <c r="H269" i="34"/>
  <c r="G269" i="34"/>
  <c r="F269" i="34"/>
  <c r="E269" i="34"/>
  <c r="D269" i="34"/>
  <c r="C269" i="34"/>
  <c r="B269" i="34"/>
  <c r="A269" i="34"/>
  <c r="AF268" i="34"/>
  <c r="AE268" i="34"/>
  <c r="AD268" i="34"/>
  <c r="AC268" i="34"/>
  <c r="AB268" i="34"/>
  <c r="AA268" i="34"/>
  <c r="Z268" i="34"/>
  <c r="Y268" i="34"/>
  <c r="X268" i="34"/>
  <c r="W268" i="34"/>
  <c r="V268" i="34"/>
  <c r="U268" i="34"/>
  <c r="T268" i="34"/>
  <c r="S268" i="34"/>
  <c r="R268" i="34"/>
  <c r="Q268" i="34"/>
  <c r="P268" i="34"/>
  <c r="O268" i="34"/>
  <c r="N268" i="34"/>
  <c r="M268" i="34"/>
  <c r="L268" i="34"/>
  <c r="K268" i="34"/>
  <c r="J268" i="34"/>
  <c r="I268" i="34"/>
  <c r="H268" i="34"/>
  <c r="G268" i="34"/>
  <c r="F268" i="34"/>
  <c r="E268" i="34"/>
  <c r="D268" i="34"/>
  <c r="C268" i="34"/>
  <c r="B268" i="34"/>
  <c r="A268" i="34"/>
  <c r="AE267" i="34"/>
  <c r="AD267" i="34"/>
  <c r="AC267" i="34"/>
  <c r="AB267" i="34"/>
  <c r="AA267" i="34"/>
  <c r="Z267" i="34"/>
  <c r="Y267" i="34"/>
  <c r="X267" i="34"/>
  <c r="W267" i="34"/>
  <c r="V267" i="34"/>
  <c r="U267" i="34"/>
  <c r="T267" i="34"/>
  <c r="S267" i="34"/>
  <c r="R267" i="34"/>
  <c r="Q267" i="34"/>
  <c r="P267" i="34"/>
  <c r="B267" i="34"/>
  <c r="S242" i="34"/>
  <c r="AG232" i="34"/>
  <c r="AG65" i="34" s="1"/>
  <c r="AG66" i="34" s="1"/>
  <c r="AG3" i="34" s="1"/>
  <c r="AF232" i="34"/>
  <c r="AE232" i="34"/>
  <c r="AD232" i="34"/>
  <c r="AC232" i="34"/>
  <c r="AB232" i="34"/>
  <c r="AA232" i="34"/>
  <c r="Z232" i="34"/>
  <c r="Y232" i="34"/>
  <c r="X232" i="34"/>
  <c r="W232" i="34"/>
  <c r="V232" i="34"/>
  <c r="U232" i="34"/>
  <c r="T232" i="34"/>
  <c r="S232" i="34"/>
  <c r="R232" i="34"/>
  <c r="Q232" i="34"/>
  <c r="C232" i="34"/>
  <c r="D231" i="34"/>
  <c r="E231" i="34" s="1"/>
  <c r="B231" i="34"/>
  <c r="AF267" i="34" s="1"/>
  <c r="D230" i="34"/>
  <c r="E230" i="34" s="1"/>
  <c r="F230" i="34" s="1"/>
  <c r="G230" i="34" s="1"/>
  <c r="H230" i="34" s="1"/>
  <c r="I230" i="34" s="1"/>
  <c r="J230" i="34" s="1"/>
  <c r="K230" i="34" s="1"/>
  <c r="L230" i="34" s="1"/>
  <c r="M230" i="34" s="1"/>
  <c r="N230" i="34" s="1"/>
  <c r="O230" i="34" s="1"/>
  <c r="P230" i="34" s="1"/>
  <c r="B230" i="34"/>
  <c r="D229" i="34"/>
  <c r="B229" i="34"/>
  <c r="D228" i="34"/>
  <c r="E228" i="34" s="1"/>
  <c r="F228" i="34" s="1"/>
  <c r="G228" i="34" s="1"/>
  <c r="H228" i="34" s="1"/>
  <c r="B228" i="34"/>
  <c r="D227" i="34"/>
  <c r="E227" i="34" s="1"/>
  <c r="F227" i="34" s="1"/>
  <c r="G227" i="34" s="1"/>
  <c r="H227" i="34" s="1"/>
  <c r="I227" i="34" s="1"/>
  <c r="J227" i="34" s="1"/>
  <c r="K227" i="34" s="1"/>
  <c r="L227" i="34" s="1"/>
  <c r="M227" i="34" s="1"/>
  <c r="N227" i="34" s="1"/>
  <c r="O227" i="34" s="1"/>
  <c r="P227" i="34" s="1"/>
  <c r="B227" i="34"/>
  <c r="D226" i="34"/>
  <c r="D108" i="34" s="1"/>
  <c r="B226" i="34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U224" i="34"/>
  <c r="T224" i="34"/>
  <c r="S224" i="34"/>
  <c r="R224" i="34"/>
  <c r="Q224" i="34"/>
  <c r="P224" i="34"/>
  <c r="O224" i="34"/>
  <c r="N224" i="34"/>
  <c r="M224" i="34"/>
  <c r="L224" i="34"/>
  <c r="K224" i="34"/>
  <c r="J224" i="34"/>
  <c r="I224" i="34"/>
  <c r="H224" i="34"/>
  <c r="G224" i="34"/>
  <c r="F224" i="34"/>
  <c r="E224" i="34"/>
  <c r="D224" i="34"/>
  <c r="C224" i="34"/>
  <c r="B224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AF108" i="34"/>
  <c r="AE108" i="34"/>
  <c r="AD108" i="34"/>
  <c r="AC108" i="34"/>
  <c r="AB108" i="34"/>
  <c r="AA108" i="34"/>
  <c r="Z108" i="34"/>
  <c r="Y108" i="34"/>
  <c r="X108" i="34"/>
  <c r="W108" i="34"/>
  <c r="V108" i="34"/>
  <c r="U108" i="34"/>
  <c r="T108" i="34"/>
  <c r="S108" i="34"/>
  <c r="R108" i="34"/>
  <c r="Q108" i="34"/>
  <c r="C108" i="34"/>
  <c r="AI107" i="34"/>
  <c r="AH107" i="34"/>
  <c r="AI106" i="34"/>
  <c r="AH106" i="34"/>
  <c r="AI105" i="34"/>
  <c r="AH105" i="34"/>
  <c r="AI104" i="34"/>
  <c r="AH104" i="34"/>
  <c r="AI103" i="34"/>
  <c r="AH103" i="34"/>
  <c r="AI102" i="34"/>
  <c r="AH102" i="34"/>
  <c r="AI101" i="34"/>
  <c r="AH101" i="34"/>
  <c r="AI100" i="34"/>
  <c r="AH100" i="34"/>
  <c r="AI99" i="34"/>
  <c r="AH99" i="34"/>
  <c r="AI97" i="34"/>
  <c r="AH97" i="34"/>
  <c r="AI96" i="34"/>
  <c r="AH96" i="34"/>
  <c r="AI95" i="34"/>
  <c r="AH95" i="34"/>
  <c r="AI94" i="34"/>
  <c r="AH94" i="34"/>
  <c r="AI93" i="34"/>
  <c r="AH93" i="34"/>
  <c r="AI92" i="34"/>
  <c r="AH92" i="34"/>
  <c r="AI91" i="34"/>
  <c r="AH91" i="34"/>
  <c r="AI88" i="34"/>
  <c r="AH88" i="34"/>
  <c r="AI86" i="34"/>
  <c r="AH86" i="34"/>
  <c r="AG86" i="34"/>
  <c r="AI85" i="34"/>
  <c r="AH85" i="34"/>
  <c r="AI84" i="34"/>
  <c r="AH84" i="34"/>
  <c r="AI83" i="34"/>
  <c r="AH83" i="34"/>
  <c r="AN82" i="34"/>
  <c r="AG82" i="34"/>
  <c r="AF82" i="34"/>
  <c r="AF98" i="34" s="1"/>
  <c r="AE82" i="34"/>
  <c r="AE98" i="34" s="1"/>
  <c r="AD82" i="34"/>
  <c r="AD98" i="34" s="1"/>
  <c r="AC82" i="34"/>
  <c r="AC98" i="34" s="1"/>
  <c r="AB82" i="34"/>
  <c r="AB98" i="34" s="1"/>
  <c r="AA82" i="34"/>
  <c r="AA98" i="34" s="1"/>
  <c r="Z82" i="34"/>
  <c r="Z98" i="34" s="1"/>
  <c r="Y82" i="34"/>
  <c r="Y98" i="34" s="1"/>
  <c r="X82" i="34"/>
  <c r="X98" i="34" s="1"/>
  <c r="W82" i="34"/>
  <c r="W98" i="34" s="1"/>
  <c r="V82" i="34"/>
  <c r="V98" i="34" s="1"/>
  <c r="U82" i="34"/>
  <c r="U98" i="34" s="1"/>
  <c r="T82" i="34"/>
  <c r="T98" i="34" s="1"/>
  <c r="S82" i="34"/>
  <c r="S98" i="34" s="1"/>
  <c r="R82" i="34"/>
  <c r="R98" i="34" s="1"/>
  <c r="Q82" i="34"/>
  <c r="Q98" i="34" s="1"/>
  <c r="P82" i="34"/>
  <c r="P98" i="34" s="1"/>
  <c r="O82" i="34"/>
  <c r="O98" i="34" s="1"/>
  <c r="N82" i="34"/>
  <c r="N98" i="34" s="1"/>
  <c r="M82" i="34"/>
  <c r="M98" i="34" s="1"/>
  <c r="L82" i="34"/>
  <c r="L98" i="34" s="1"/>
  <c r="K82" i="34"/>
  <c r="K98" i="34" s="1"/>
  <c r="J82" i="34"/>
  <c r="J98" i="34" s="1"/>
  <c r="I82" i="34"/>
  <c r="I98" i="34" s="1"/>
  <c r="H82" i="34"/>
  <c r="H98" i="34" s="1"/>
  <c r="G82" i="34"/>
  <c r="G98" i="34" s="1"/>
  <c r="F82" i="34"/>
  <c r="F98" i="34" s="1"/>
  <c r="E82" i="34"/>
  <c r="E98" i="34" s="1"/>
  <c r="D82" i="34"/>
  <c r="D98" i="34" s="1"/>
  <c r="C82" i="34"/>
  <c r="C98" i="34" s="1"/>
  <c r="AI81" i="34"/>
  <c r="AH81" i="34"/>
  <c r="AN80" i="34"/>
  <c r="AI80" i="34"/>
  <c r="AH80" i="34"/>
  <c r="AN79" i="34"/>
  <c r="AN81" i="34" s="1"/>
  <c r="AI79" i="34"/>
  <c r="AH79" i="34"/>
  <c r="AI78" i="34"/>
  <c r="AH78" i="34"/>
  <c r="AI77" i="34"/>
  <c r="AH77" i="34"/>
  <c r="AI76" i="34"/>
  <c r="AH76" i="34"/>
  <c r="AI75" i="34"/>
  <c r="AH75" i="34"/>
  <c r="AI74" i="34"/>
  <c r="AH74" i="34"/>
  <c r="AI73" i="34"/>
  <c r="AH73" i="34"/>
  <c r="AI72" i="34"/>
  <c r="AH72" i="34"/>
  <c r="AI71" i="34"/>
  <c r="AH71" i="34"/>
  <c r="AG70" i="34"/>
  <c r="AF70" i="34"/>
  <c r="AE70" i="34"/>
  <c r="AD70" i="34"/>
  <c r="AC70" i="34"/>
  <c r="AB70" i="34"/>
  <c r="AA70" i="34"/>
  <c r="Z70" i="34"/>
  <c r="Y70" i="34"/>
  <c r="X70" i="34"/>
  <c r="W70" i="34"/>
  <c r="V70" i="34"/>
  <c r="U70" i="34"/>
  <c r="T70" i="34"/>
  <c r="S70" i="34"/>
  <c r="R70" i="34"/>
  <c r="Q70" i="34"/>
  <c r="P70" i="34"/>
  <c r="O70" i="34"/>
  <c r="N70" i="34"/>
  <c r="M70" i="34"/>
  <c r="L70" i="34"/>
  <c r="AI69" i="34"/>
  <c r="AH69" i="34"/>
  <c r="AI68" i="34"/>
  <c r="AH68" i="34"/>
  <c r="AI67" i="34"/>
  <c r="AH67" i="34"/>
  <c r="AF66" i="34"/>
  <c r="AE66" i="34"/>
  <c r="AD66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G52" i="34"/>
  <c r="AF52" i="34"/>
  <c r="AE52" i="34"/>
  <c r="AD52" i="34"/>
  <c r="AC52" i="34"/>
  <c r="AB52" i="34"/>
  <c r="AA52" i="34"/>
  <c r="Z52" i="34"/>
  <c r="Y52" i="34"/>
  <c r="X52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I51" i="34"/>
  <c r="AH51" i="34"/>
  <c r="AI50" i="34"/>
  <c r="AH50" i="34"/>
  <c r="AI49" i="34"/>
  <c r="AH49" i="34"/>
  <c r="AG48" i="34"/>
  <c r="AG87" i="34" s="1"/>
  <c r="AF48" i="34"/>
  <c r="AE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G4" i="34"/>
  <c r="K4" i="34"/>
  <c r="E4" i="34"/>
  <c r="H4" i="34" s="1"/>
  <c r="B4" i="34"/>
  <c r="S243" i="34" s="1"/>
  <c r="S242" i="33"/>
  <c r="U111" i="33"/>
  <c r="T111" i="33"/>
  <c r="AG89" i="34" l="1"/>
  <c r="E226" i="34"/>
  <c r="F226" i="34" s="1"/>
  <c r="G226" i="34" s="1"/>
  <c r="D232" i="34"/>
  <c r="AG2" i="34"/>
  <c r="AG6" i="34" s="1"/>
  <c r="C267" i="34"/>
  <c r="B232" i="34"/>
  <c r="AE5" i="34"/>
  <c r="AF87" i="34"/>
  <c r="AF89" i="34" s="1"/>
  <c r="AX246" i="34" s="1"/>
  <c r="AE87" i="34"/>
  <c r="AE89" i="34" s="1"/>
  <c r="AD5" i="34"/>
  <c r="AC5" i="34"/>
  <c r="AD87" i="34"/>
  <c r="AD89" i="34" s="1"/>
  <c r="AB5" i="34"/>
  <c r="AC87" i="34"/>
  <c r="AC89" i="34" s="1"/>
  <c r="AA5" i="34"/>
  <c r="AB87" i="34"/>
  <c r="AB89" i="34" s="1"/>
  <c r="AB90" i="34" s="1"/>
  <c r="AA87" i="34"/>
  <c r="AA89" i="34" s="1"/>
  <c r="Y5" i="34"/>
  <c r="Z87" i="34"/>
  <c r="Z89" i="34" s="1"/>
  <c r="X5" i="34"/>
  <c r="Y87" i="34"/>
  <c r="Y89" i="34" s="1"/>
  <c r="W5" i="34"/>
  <c r="X87" i="34"/>
  <c r="X89" i="34" s="1"/>
  <c r="X90" i="34" s="1"/>
  <c r="V5" i="34"/>
  <c r="W87" i="34"/>
  <c r="W89" i="34" s="1"/>
  <c r="U5" i="34"/>
  <c r="V87" i="34"/>
  <c r="V89" i="34" s="1"/>
  <c r="T5" i="34"/>
  <c r="U87" i="34"/>
  <c r="U89" i="34" s="1"/>
  <c r="S5" i="34"/>
  <c r="T87" i="34"/>
  <c r="T89" i="34" s="1"/>
  <c r="T90" i="34" s="1"/>
  <c r="S87" i="34"/>
  <c r="S89" i="34" s="1"/>
  <c r="S90" i="34" s="1"/>
  <c r="Q5" i="34"/>
  <c r="R87" i="34"/>
  <c r="R89" i="34" s="1"/>
  <c r="P5" i="34"/>
  <c r="Q87" i="34"/>
  <c r="Q89" i="34" s="1"/>
  <c r="Q90" i="34" s="1"/>
  <c r="O5" i="34"/>
  <c r="P87" i="34"/>
  <c r="P89" i="34" s="1"/>
  <c r="P90" i="34" s="1"/>
  <c r="N5" i="34"/>
  <c r="AI70" i="34"/>
  <c r="O87" i="34"/>
  <c r="O89" i="34" s="1"/>
  <c r="N87" i="34"/>
  <c r="N89" i="34" s="1"/>
  <c r="N7" i="34" s="1"/>
  <c r="M5" i="34"/>
  <c r="L5" i="34"/>
  <c r="M87" i="34"/>
  <c r="M89" i="34" s="1"/>
  <c r="M7" i="34" s="1"/>
  <c r="K5" i="34"/>
  <c r="L87" i="34"/>
  <c r="L89" i="34" s="1"/>
  <c r="AD246" i="34" s="1"/>
  <c r="K87" i="34"/>
  <c r="K89" i="34" s="1"/>
  <c r="AC246" i="34" s="1"/>
  <c r="I5" i="34"/>
  <c r="J87" i="34"/>
  <c r="J89" i="34" s="1"/>
  <c r="AB246" i="34" s="1"/>
  <c r="H5" i="34"/>
  <c r="I87" i="34"/>
  <c r="I89" i="34" s="1"/>
  <c r="I7" i="34" s="1"/>
  <c r="G5" i="34"/>
  <c r="H87" i="34"/>
  <c r="H89" i="34" s="1"/>
  <c r="H7" i="34" s="1"/>
  <c r="F5" i="34"/>
  <c r="G87" i="34"/>
  <c r="G89" i="34" s="1"/>
  <c r="Y246" i="34" s="1"/>
  <c r="E5" i="34"/>
  <c r="AI66" i="34"/>
  <c r="F87" i="34"/>
  <c r="F89" i="34" s="1"/>
  <c r="F7" i="34" s="1"/>
  <c r="AH52" i="34"/>
  <c r="C5" i="34"/>
  <c r="E87" i="34"/>
  <c r="E89" i="34" s="1"/>
  <c r="E7" i="34" s="1"/>
  <c r="D5" i="34"/>
  <c r="D87" i="34"/>
  <c r="D89" i="34" s="1"/>
  <c r="D90" i="34" s="1"/>
  <c r="AH82" i="34"/>
  <c r="C87" i="34"/>
  <c r="C89" i="34" s="1"/>
  <c r="U246" i="34" s="1"/>
  <c r="AF5" i="34"/>
  <c r="B87" i="34"/>
  <c r="B89" i="34" s="1"/>
  <c r="B90" i="34" s="1"/>
  <c r="AL246" i="34"/>
  <c r="T7" i="34"/>
  <c r="AH98" i="34"/>
  <c r="E90" i="34"/>
  <c r="V7" i="34"/>
  <c r="AN246" i="34"/>
  <c r="V90" i="34"/>
  <c r="U7" i="34"/>
  <c r="AM246" i="34"/>
  <c r="U90" i="34"/>
  <c r="N90" i="34"/>
  <c r="AD7" i="34"/>
  <c r="AV246" i="34"/>
  <c r="AD90" i="34"/>
  <c r="AF7" i="34"/>
  <c r="AE246" i="34"/>
  <c r="I90" i="34"/>
  <c r="Q7" i="34"/>
  <c r="AI246" i="34"/>
  <c r="Y7" i="34"/>
  <c r="AQ246" i="34"/>
  <c r="Y90" i="34"/>
  <c r="AG246" i="34"/>
  <c r="O90" i="34"/>
  <c r="O7" i="34"/>
  <c r="AA90" i="34"/>
  <c r="AS246" i="34"/>
  <c r="AA7" i="34"/>
  <c r="AW246" i="34"/>
  <c r="AE90" i="34"/>
  <c r="AE7" i="34"/>
  <c r="AC7" i="34"/>
  <c r="AU246" i="34"/>
  <c r="AC90" i="34"/>
  <c r="D267" i="34"/>
  <c r="F231" i="34"/>
  <c r="E108" i="34"/>
  <c r="J90" i="34"/>
  <c r="J7" i="34"/>
  <c r="R90" i="34"/>
  <c r="R7" i="34"/>
  <c r="AJ246" i="34"/>
  <c r="Z90" i="34"/>
  <c r="Z7" i="34"/>
  <c r="AR246" i="34"/>
  <c r="AO246" i="34"/>
  <c r="W90" i="34"/>
  <c r="W7" i="34"/>
  <c r="H226" i="34"/>
  <c r="AH48" i="34"/>
  <c r="AI98" i="34"/>
  <c r="AH70" i="34"/>
  <c r="D243" i="34"/>
  <c r="B5" i="34"/>
  <c r="J5" i="34"/>
  <c r="R5" i="34"/>
  <c r="Z5" i="34"/>
  <c r="AH66" i="34"/>
  <c r="AI82" i="34"/>
  <c r="F108" i="34"/>
  <c r="AI48" i="34"/>
  <c r="AI52" i="34"/>
  <c r="E229" i="34"/>
  <c r="F229" i="34" s="1"/>
  <c r="G229" i="34" s="1"/>
  <c r="H229" i="34" s="1"/>
  <c r="I229" i="34" s="1"/>
  <c r="AA246" i="34" l="1"/>
  <c r="AP246" i="34"/>
  <c r="X7" i="34"/>
  <c r="K7" i="34"/>
  <c r="L90" i="34"/>
  <c r="H90" i="34"/>
  <c r="AH246" i="34"/>
  <c r="AT246" i="34"/>
  <c r="AF90" i="34"/>
  <c r="P7" i="34"/>
  <c r="AB7" i="34"/>
  <c r="S7" i="34"/>
  <c r="AK246" i="34"/>
  <c r="AF246" i="34"/>
  <c r="M90" i="34"/>
  <c r="K90" i="34"/>
  <c r="L7" i="34"/>
  <c r="Z246" i="34"/>
  <c r="G7" i="34"/>
  <c r="G90" i="34"/>
  <c r="B241" i="34"/>
  <c r="C241" i="34"/>
  <c r="F90" i="34"/>
  <c r="X246" i="34"/>
  <c r="W246" i="34"/>
  <c r="V246" i="34"/>
  <c r="D7" i="34"/>
  <c r="AI87" i="34"/>
  <c r="C7" i="34"/>
  <c r="AH87" i="34"/>
  <c r="C90" i="34"/>
  <c r="J229" i="34"/>
  <c r="K229" i="34" s="1"/>
  <c r="L229" i="34" s="1"/>
  <c r="M229" i="34" s="1"/>
  <c r="N229" i="34" s="1"/>
  <c r="O229" i="34" s="1"/>
  <c r="P229" i="34" s="1"/>
  <c r="I226" i="34"/>
  <c r="AH89" i="34"/>
  <c r="B7" i="34"/>
  <c r="T246" i="34"/>
  <c r="AI89" i="34"/>
  <c r="E267" i="34"/>
  <c r="G231" i="34"/>
  <c r="G232" i="34"/>
  <c r="F232" i="34"/>
  <c r="E232" i="34"/>
  <c r="K6" i="34" l="1"/>
  <c r="A7" i="34"/>
  <c r="AH90" i="34"/>
  <c r="AI90" i="34"/>
  <c r="F267" i="34"/>
  <c r="H231" i="34"/>
  <c r="G108" i="34"/>
  <c r="J226" i="34"/>
  <c r="K226" i="34" l="1"/>
  <c r="G267" i="34"/>
  <c r="I231" i="34"/>
  <c r="H232" i="34"/>
  <c r="H108" i="34"/>
  <c r="H267" i="34" l="1"/>
  <c r="J231" i="34"/>
  <c r="I108" i="34"/>
  <c r="L226" i="34"/>
  <c r="M226" i="34" l="1"/>
  <c r="K231" i="34"/>
  <c r="I267" i="34"/>
  <c r="J108" i="34"/>
  <c r="J267" i="34" l="1"/>
  <c r="L231" i="34"/>
  <c r="K108" i="34"/>
  <c r="N226" i="34"/>
  <c r="O226" i="34" l="1"/>
  <c r="K267" i="34"/>
  <c r="M231" i="34"/>
  <c r="L108" i="34"/>
  <c r="L267" i="34" l="1"/>
  <c r="N231" i="34"/>
  <c r="M108" i="34"/>
  <c r="P226" i="34"/>
  <c r="M267" i="34" l="1"/>
  <c r="O231" i="34"/>
  <c r="N108" i="34"/>
  <c r="P231" i="34" l="1"/>
  <c r="O267" i="34" s="1"/>
  <c r="N267" i="34"/>
  <c r="O108" i="34"/>
  <c r="AI108" i="34" l="1"/>
  <c r="AH108" i="34"/>
  <c r="S111" i="33" l="1"/>
  <c r="R111" i="33"/>
  <c r="Q111" i="33"/>
  <c r="P111" i="33"/>
  <c r="O111" i="33"/>
  <c r="AF271" i="33"/>
  <c r="AE271" i="33"/>
  <c r="AD271" i="33"/>
  <c r="AC271" i="33"/>
  <c r="AB271" i="33"/>
  <c r="AA271" i="33"/>
  <c r="Z271" i="33"/>
  <c r="Y271" i="33"/>
  <c r="X271" i="33"/>
  <c r="W271" i="33"/>
  <c r="V271" i="33"/>
  <c r="U271" i="33"/>
  <c r="T271" i="33"/>
  <c r="S271" i="33"/>
  <c r="R271" i="33"/>
  <c r="Q271" i="33"/>
  <c r="P271" i="33"/>
  <c r="O271" i="33"/>
  <c r="N271" i="33"/>
  <c r="M271" i="33"/>
  <c r="L271" i="33"/>
  <c r="K271" i="33"/>
  <c r="J271" i="33"/>
  <c r="I271" i="33"/>
  <c r="H271" i="33"/>
  <c r="G271" i="33"/>
  <c r="F271" i="33"/>
  <c r="E271" i="33"/>
  <c r="D271" i="33"/>
  <c r="C271" i="33"/>
  <c r="B271" i="33"/>
  <c r="A271" i="33"/>
  <c r="AF270" i="33"/>
  <c r="AE270" i="33"/>
  <c r="AD270" i="33"/>
  <c r="AC270" i="33"/>
  <c r="AB270" i="33"/>
  <c r="AA270" i="33"/>
  <c r="Z270" i="33"/>
  <c r="Y270" i="33"/>
  <c r="X270" i="33"/>
  <c r="W270" i="33"/>
  <c r="V270" i="33"/>
  <c r="U270" i="33"/>
  <c r="T270" i="33"/>
  <c r="S270" i="33"/>
  <c r="R270" i="33"/>
  <c r="Q270" i="33"/>
  <c r="P270" i="33"/>
  <c r="O270" i="33"/>
  <c r="N270" i="33"/>
  <c r="M270" i="33"/>
  <c r="L270" i="33"/>
  <c r="K270" i="33"/>
  <c r="J270" i="33"/>
  <c r="I270" i="33"/>
  <c r="H270" i="33"/>
  <c r="G270" i="33"/>
  <c r="F270" i="33"/>
  <c r="E270" i="33"/>
  <c r="D270" i="33"/>
  <c r="C270" i="33"/>
  <c r="B270" i="33"/>
  <c r="A270" i="33"/>
  <c r="AF269" i="33"/>
  <c r="AE269" i="33"/>
  <c r="AD269" i="33"/>
  <c r="AC269" i="33"/>
  <c r="AB269" i="33"/>
  <c r="AA269" i="33"/>
  <c r="Z269" i="33"/>
  <c r="Y269" i="33"/>
  <c r="X269" i="33"/>
  <c r="W269" i="33"/>
  <c r="V269" i="33"/>
  <c r="U269" i="33"/>
  <c r="T269" i="33"/>
  <c r="S269" i="33"/>
  <c r="R269" i="33"/>
  <c r="Q269" i="33"/>
  <c r="P269" i="33"/>
  <c r="O269" i="33"/>
  <c r="N269" i="33"/>
  <c r="M269" i="33"/>
  <c r="L269" i="33"/>
  <c r="K269" i="33"/>
  <c r="J269" i="33"/>
  <c r="I269" i="33"/>
  <c r="H269" i="33"/>
  <c r="G269" i="33"/>
  <c r="F269" i="33"/>
  <c r="E269" i="33"/>
  <c r="D269" i="33"/>
  <c r="C269" i="33"/>
  <c r="B269" i="33"/>
  <c r="A269" i="33"/>
  <c r="AF268" i="33"/>
  <c r="AE268" i="33"/>
  <c r="AD268" i="33"/>
  <c r="AC268" i="33"/>
  <c r="AB268" i="33"/>
  <c r="AA268" i="33"/>
  <c r="Z268" i="33"/>
  <c r="Y268" i="33"/>
  <c r="X268" i="33"/>
  <c r="W268" i="33"/>
  <c r="V268" i="33"/>
  <c r="U268" i="33"/>
  <c r="T268" i="33"/>
  <c r="S268" i="33"/>
  <c r="R268" i="33"/>
  <c r="Q268" i="33"/>
  <c r="P268" i="33"/>
  <c r="O268" i="33"/>
  <c r="N268" i="33"/>
  <c r="M268" i="33"/>
  <c r="L268" i="33"/>
  <c r="K268" i="33"/>
  <c r="J268" i="33"/>
  <c r="I268" i="33"/>
  <c r="H268" i="33"/>
  <c r="G268" i="33"/>
  <c r="F268" i="33"/>
  <c r="E268" i="33"/>
  <c r="D268" i="33"/>
  <c r="C268" i="33"/>
  <c r="B268" i="33"/>
  <c r="A268" i="33"/>
  <c r="AE267" i="33"/>
  <c r="AD267" i="33"/>
  <c r="AC267" i="33"/>
  <c r="AB267" i="33"/>
  <c r="AA267" i="33"/>
  <c r="Z267" i="33"/>
  <c r="Y267" i="33"/>
  <c r="X267" i="33"/>
  <c r="W267" i="33"/>
  <c r="V267" i="33"/>
  <c r="U267" i="33"/>
  <c r="T267" i="33"/>
  <c r="S267" i="33"/>
  <c r="R267" i="33"/>
  <c r="Q267" i="33"/>
  <c r="P267" i="33"/>
  <c r="C267" i="33"/>
  <c r="B267" i="33"/>
  <c r="AG232" i="33"/>
  <c r="AG65" i="33" s="1"/>
  <c r="AG66" i="33" s="1"/>
  <c r="AG3" i="33" s="1"/>
  <c r="AF232" i="33"/>
  <c r="AE232" i="33"/>
  <c r="AD232" i="33"/>
  <c r="AC232" i="33"/>
  <c r="AB232" i="33"/>
  <c r="AA232" i="33"/>
  <c r="Z232" i="33"/>
  <c r="Y232" i="33"/>
  <c r="X232" i="33"/>
  <c r="W232" i="33"/>
  <c r="V232" i="33"/>
  <c r="U232" i="33"/>
  <c r="T232" i="33"/>
  <c r="S232" i="33"/>
  <c r="R232" i="33"/>
  <c r="Q232" i="33"/>
  <c r="C232" i="33"/>
  <c r="D231" i="33"/>
  <c r="D108" i="33" s="1"/>
  <c r="B231" i="33"/>
  <c r="AF267" i="33" s="1"/>
  <c r="E230" i="33"/>
  <c r="F230" i="33" s="1"/>
  <c r="G230" i="33" s="1"/>
  <c r="H230" i="33" s="1"/>
  <c r="I230" i="33" s="1"/>
  <c r="J230" i="33" s="1"/>
  <c r="K230" i="33" s="1"/>
  <c r="L230" i="33" s="1"/>
  <c r="M230" i="33" s="1"/>
  <c r="N230" i="33" s="1"/>
  <c r="O230" i="33" s="1"/>
  <c r="P230" i="33" s="1"/>
  <c r="D230" i="33"/>
  <c r="B230" i="33"/>
  <c r="D229" i="33"/>
  <c r="E229" i="33" s="1"/>
  <c r="F229" i="33" s="1"/>
  <c r="G229" i="33" s="1"/>
  <c r="H229" i="33" s="1"/>
  <c r="I229" i="33" s="1"/>
  <c r="B229" i="33"/>
  <c r="E228" i="33"/>
  <c r="F228" i="33" s="1"/>
  <c r="G228" i="33" s="1"/>
  <c r="H228" i="33" s="1"/>
  <c r="D228" i="33"/>
  <c r="B228" i="33"/>
  <c r="D227" i="33"/>
  <c r="E227" i="33" s="1"/>
  <c r="F227" i="33" s="1"/>
  <c r="G227" i="33" s="1"/>
  <c r="H227" i="33" s="1"/>
  <c r="I227" i="33" s="1"/>
  <c r="J227" i="33" s="1"/>
  <c r="K227" i="33" s="1"/>
  <c r="L227" i="33" s="1"/>
  <c r="M227" i="33" s="1"/>
  <c r="N227" i="33" s="1"/>
  <c r="O227" i="33" s="1"/>
  <c r="P227" i="33" s="1"/>
  <c r="B227" i="33"/>
  <c r="E226" i="33"/>
  <c r="F226" i="33" s="1"/>
  <c r="D226" i="33"/>
  <c r="B226" i="33"/>
  <c r="AG224" i="33"/>
  <c r="AF224" i="33"/>
  <c r="AE224" i="33"/>
  <c r="AD224" i="33"/>
  <c r="AC224" i="33"/>
  <c r="AB224" i="33"/>
  <c r="AA224" i="33"/>
  <c r="Z224" i="33"/>
  <c r="Y224" i="33"/>
  <c r="X224" i="33"/>
  <c r="W224" i="33"/>
  <c r="V224" i="33"/>
  <c r="U224" i="33"/>
  <c r="T224" i="33"/>
  <c r="S224" i="33"/>
  <c r="R224" i="33"/>
  <c r="Q224" i="33"/>
  <c r="P224" i="33"/>
  <c r="O224" i="33"/>
  <c r="N224" i="33"/>
  <c r="M224" i="33"/>
  <c r="L224" i="33"/>
  <c r="K224" i="33"/>
  <c r="J224" i="33"/>
  <c r="I224" i="33"/>
  <c r="H224" i="33"/>
  <c r="G224" i="33"/>
  <c r="F224" i="33"/>
  <c r="E224" i="33"/>
  <c r="D224" i="33"/>
  <c r="C224" i="33"/>
  <c r="B224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H111" i="33"/>
  <c r="AI110" i="33"/>
  <c r="AH110" i="33"/>
  <c r="AI109" i="33"/>
  <c r="AH109" i="33"/>
  <c r="AF108" i="33"/>
  <c r="AE108" i="33"/>
  <c r="AD108" i="33"/>
  <c r="AC108" i="33"/>
  <c r="AB108" i="33"/>
  <c r="AA108" i="33"/>
  <c r="Z108" i="33"/>
  <c r="Y108" i="33"/>
  <c r="X108" i="33"/>
  <c r="W108" i="33"/>
  <c r="V108" i="33"/>
  <c r="U108" i="33"/>
  <c r="T108" i="33"/>
  <c r="S108" i="33"/>
  <c r="R108" i="33"/>
  <c r="Q108" i="33"/>
  <c r="C108" i="33"/>
  <c r="AI107" i="33"/>
  <c r="AH107" i="33"/>
  <c r="AI106" i="33"/>
  <c r="AH106" i="33"/>
  <c r="AI105" i="33"/>
  <c r="AH105" i="33"/>
  <c r="AI104" i="33"/>
  <c r="AH104" i="33"/>
  <c r="AI103" i="33"/>
  <c r="AH103" i="33"/>
  <c r="AI102" i="33"/>
  <c r="AH102" i="33"/>
  <c r="AI101" i="33"/>
  <c r="AH101" i="33"/>
  <c r="AI100" i="33"/>
  <c r="AH100" i="33"/>
  <c r="AI99" i="33"/>
  <c r="AH99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AI88" i="33"/>
  <c r="AH88" i="33"/>
  <c r="AI86" i="33"/>
  <c r="AH86" i="33"/>
  <c r="AG86" i="33"/>
  <c r="AI85" i="33"/>
  <c r="AH85" i="33"/>
  <c r="AI84" i="33"/>
  <c r="AH84" i="33"/>
  <c r="AI83" i="33"/>
  <c r="AH83" i="33"/>
  <c r="AN82" i="33"/>
  <c r="AG82" i="33"/>
  <c r="AF82" i="33"/>
  <c r="AE5" i="33" s="1"/>
  <c r="AE82" i="33"/>
  <c r="AD5" i="33" s="1"/>
  <c r="AD82" i="33"/>
  <c r="AD98" i="33" s="1"/>
  <c r="AC82" i="33"/>
  <c r="AC98" i="33" s="1"/>
  <c r="AB82" i="33"/>
  <c r="AA5" i="33" s="1"/>
  <c r="AA82" i="33"/>
  <c r="AA98" i="33" s="1"/>
  <c r="Z82" i="33"/>
  <c r="Z98" i="33" s="1"/>
  <c r="Y82" i="33"/>
  <c r="X5" i="33" s="1"/>
  <c r="X82" i="33"/>
  <c r="W5" i="33" s="1"/>
  <c r="W82" i="33"/>
  <c r="V5" i="33" s="1"/>
  <c r="V82" i="33"/>
  <c r="V98" i="33" s="1"/>
  <c r="U82" i="33"/>
  <c r="U98" i="33" s="1"/>
  <c r="T82" i="33"/>
  <c r="S5" i="33" s="1"/>
  <c r="S82" i="33"/>
  <c r="S98" i="33" s="1"/>
  <c r="R82" i="33"/>
  <c r="R98" i="33" s="1"/>
  <c r="Q82" i="33"/>
  <c r="P5" i="33" s="1"/>
  <c r="P82" i="33"/>
  <c r="O5" i="33" s="1"/>
  <c r="O82" i="33"/>
  <c r="N5" i="33" s="1"/>
  <c r="N82" i="33"/>
  <c r="M5" i="33" s="1"/>
  <c r="M82" i="33"/>
  <c r="L5" i="33" s="1"/>
  <c r="L82" i="33"/>
  <c r="L98" i="33" s="1"/>
  <c r="K82" i="33"/>
  <c r="K98" i="33" s="1"/>
  <c r="J82" i="33"/>
  <c r="J98" i="33" s="1"/>
  <c r="I82" i="33"/>
  <c r="H5" i="33" s="1"/>
  <c r="H82" i="33"/>
  <c r="G5" i="33" s="1"/>
  <c r="G82" i="33"/>
  <c r="F5" i="33" s="1"/>
  <c r="F82" i="33"/>
  <c r="F98" i="33" s="1"/>
  <c r="E82" i="33"/>
  <c r="D5" i="33" s="1"/>
  <c r="D82" i="33"/>
  <c r="D98" i="33" s="1"/>
  <c r="C82" i="33"/>
  <c r="C98" i="33" s="1"/>
  <c r="B82" i="33"/>
  <c r="AF5" i="33" s="1"/>
  <c r="AI81" i="33"/>
  <c r="AH81" i="33"/>
  <c r="AN80" i="33"/>
  <c r="AI80" i="33"/>
  <c r="AH80" i="33"/>
  <c r="AN79" i="33"/>
  <c r="AN81" i="33" s="1"/>
  <c r="AI79" i="33"/>
  <c r="AH79" i="33"/>
  <c r="AI78" i="33"/>
  <c r="AH78" i="33"/>
  <c r="AI77" i="33"/>
  <c r="AH77" i="33"/>
  <c r="AI76" i="33"/>
  <c r="AH76" i="33"/>
  <c r="AI75" i="33"/>
  <c r="AH75" i="33"/>
  <c r="AI74" i="33"/>
  <c r="AH74" i="33"/>
  <c r="AI73" i="33"/>
  <c r="AH73" i="33"/>
  <c r="AI72" i="33"/>
  <c r="AH72" i="33"/>
  <c r="AI71" i="33"/>
  <c r="AH71" i="33"/>
  <c r="AG70" i="33"/>
  <c r="AF70" i="33"/>
  <c r="AE70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L70" i="33"/>
  <c r="B70" i="33"/>
  <c r="AI69" i="33"/>
  <c r="AH69" i="33"/>
  <c r="AI68" i="33"/>
  <c r="AH68" i="33"/>
  <c r="AI67" i="33"/>
  <c r="AH67" i="33"/>
  <c r="AF66" i="33"/>
  <c r="AE66" i="33"/>
  <c r="AD66" i="33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G52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AI51" i="33"/>
  <c r="AH51" i="33"/>
  <c r="AI50" i="33"/>
  <c r="AH50" i="33"/>
  <c r="AI49" i="33"/>
  <c r="AH49" i="33"/>
  <c r="AG48" i="33"/>
  <c r="AG87" i="33" s="1"/>
  <c r="AF48" i="33"/>
  <c r="AE48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G4" i="33"/>
  <c r="K4" i="33"/>
  <c r="E4" i="33"/>
  <c r="H4" i="33" s="1"/>
  <c r="B4" i="33"/>
  <c r="S243" i="33" s="1"/>
  <c r="Z111" i="32"/>
  <c r="X111" i="32"/>
  <c r="U111" i="32"/>
  <c r="E231" i="33" l="1"/>
  <c r="T98" i="33"/>
  <c r="AG2" i="33"/>
  <c r="AG6" i="33" s="1"/>
  <c r="AG89" i="33"/>
  <c r="AI111" i="33"/>
  <c r="U5" i="33"/>
  <c r="B108" i="33"/>
  <c r="D232" i="33"/>
  <c r="AF98" i="33"/>
  <c r="AF87" i="33"/>
  <c r="AF89" i="33" s="1"/>
  <c r="AE98" i="33"/>
  <c r="AE87" i="33"/>
  <c r="AE89" i="33" s="1"/>
  <c r="AE90" i="33" s="1"/>
  <c r="AD87" i="33"/>
  <c r="AD89" i="33" s="1"/>
  <c r="AC5" i="33"/>
  <c r="AB5" i="33"/>
  <c r="AC87" i="33"/>
  <c r="AC89" i="33" s="1"/>
  <c r="AC90" i="33" s="1"/>
  <c r="AB98" i="33"/>
  <c r="AB87" i="33"/>
  <c r="AB89" i="33" s="1"/>
  <c r="Z5" i="33"/>
  <c r="AA87" i="33"/>
  <c r="AA89" i="33" s="1"/>
  <c r="Z87" i="33"/>
  <c r="Z89" i="33" s="1"/>
  <c r="Y87" i="33"/>
  <c r="Y89" i="33" s="1"/>
  <c r="Y90" i="33" s="1"/>
  <c r="X87" i="33"/>
  <c r="X89" i="33" s="1"/>
  <c r="AP246" i="33" s="1"/>
  <c r="W87" i="33"/>
  <c r="W89" i="33" s="1"/>
  <c r="AO246" i="33" s="1"/>
  <c r="W98" i="33"/>
  <c r="V87" i="33"/>
  <c r="V89" i="33" s="1"/>
  <c r="T5" i="33"/>
  <c r="U87" i="33"/>
  <c r="U89" i="33" s="1"/>
  <c r="T87" i="33"/>
  <c r="T89" i="33" s="1"/>
  <c r="AL246" i="33" s="1"/>
  <c r="R5" i="33"/>
  <c r="S87" i="33"/>
  <c r="S89" i="33" s="1"/>
  <c r="S7" i="33" s="1"/>
  <c r="R87" i="33"/>
  <c r="R89" i="33" s="1"/>
  <c r="R7" i="33" s="1"/>
  <c r="P87" i="33"/>
  <c r="P89" i="33" s="1"/>
  <c r="Q87" i="33"/>
  <c r="Q89" i="33" s="1"/>
  <c r="O98" i="33"/>
  <c r="O87" i="33"/>
  <c r="O89" i="33" s="1"/>
  <c r="AG246" i="33" s="1"/>
  <c r="N98" i="33"/>
  <c r="N87" i="33"/>
  <c r="N89" i="33" s="1"/>
  <c r="N7" i="33" s="1"/>
  <c r="M98" i="33"/>
  <c r="M87" i="33"/>
  <c r="M89" i="33" s="1"/>
  <c r="M7" i="33" s="1"/>
  <c r="K5" i="33"/>
  <c r="AI70" i="33"/>
  <c r="J5" i="33"/>
  <c r="K87" i="33"/>
  <c r="K89" i="33" s="1"/>
  <c r="AC246" i="33" s="1"/>
  <c r="J87" i="33"/>
  <c r="J89" i="33" s="1"/>
  <c r="I87" i="33"/>
  <c r="I89" i="33" s="1"/>
  <c r="I90" i="33" s="1"/>
  <c r="H87" i="33"/>
  <c r="H89" i="33" s="1"/>
  <c r="Z246" i="33" s="1"/>
  <c r="G87" i="33"/>
  <c r="G89" i="33" s="1"/>
  <c r="G90" i="33" s="1"/>
  <c r="G98" i="33"/>
  <c r="E5" i="33"/>
  <c r="F87" i="33"/>
  <c r="F89" i="33" s="1"/>
  <c r="F7" i="33" s="1"/>
  <c r="E98" i="33"/>
  <c r="L87" i="33"/>
  <c r="L89" i="33" s="1"/>
  <c r="AD246" i="33" s="1"/>
  <c r="E87" i="33"/>
  <c r="E89" i="33" s="1"/>
  <c r="E7" i="33" s="1"/>
  <c r="C5" i="33"/>
  <c r="AI66" i="33"/>
  <c r="D87" i="33"/>
  <c r="D89" i="33" s="1"/>
  <c r="D90" i="33" s="1"/>
  <c r="B5" i="33"/>
  <c r="AH66" i="33"/>
  <c r="AH52" i="33"/>
  <c r="B87" i="33"/>
  <c r="V7" i="33"/>
  <c r="AN246" i="33"/>
  <c r="V90" i="33"/>
  <c r="AD7" i="33"/>
  <c r="AV246" i="33"/>
  <c r="AD90" i="33"/>
  <c r="AF246" i="33"/>
  <c r="N90" i="33"/>
  <c r="J229" i="33"/>
  <c r="K229" i="33" s="1"/>
  <c r="L229" i="33" s="1"/>
  <c r="M229" i="33" s="1"/>
  <c r="N229" i="33" s="1"/>
  <c r="O229" i="33" s="1"/>
  <c r="P229" i="33" s="1"/>
  <c r="AS246" i="33"/>
  <c r="AA90" i="33"/>
  <c r="AA7" i="33"/>
  <c r="G226" i="33"/>
  <c r="X90" i="33"/>
  <c r="X7" i="33"/>
  <c r="T90" i="33"/>
  <c r="T7" i="33"/>
  <c r="AB90" i="33"/>
  <c r="AB7" i="33"/>
  <c r="AT246" i="33"/>
  <c r="AW246" i="33"/>
  <c r="AE7" i="33"/>
  <c r="P90" i="33"/>
  <c r="P7" i="33"/>
  <c r="AH246" i="33"/>
  <c r="Q90" i="33"/>
  <c r="AI246" i="33"/>
  <c r="Q7" i="33"/>
  <c r="U7" i="33"/>
  <c r="AM246" i="33"/>
  <c r="U90" i="33"/>
  <c r="AU246" i="33"/>
  <c r="AF90" i="33"/>
  <c r="AF7" i="33"/>
  <c r="AX246" i="33"/>
  <c r="B89" i="33"/>
  <c r="J90" i="33"/>
  <c r="J7" i="33"/>
  <c r="AB246" i="33"/>
  <c r="Z90" i="33"/>
  <c r="AR246" i="33"/>
  <c r="Z7" i="33"/>
  <c r="F90" i="33"/>
  <c r="I5" i="33"/>
  <c r="Q5" i="33"/>
  <c r="Y5" i="33"/>
  <c r="AH70" i="33"/>
  <c r="C87" i="33"/>
  <c r="C89" i="33" s="1"/>
  <c r="E232" i="33"/>
  <c r="D243" i="33"/>
  <c r="H98" i="33"/>
  <c r="P98" i="33"/>
  <c r="X98" i="33"/>
  <c r="E108" i="33"/>
  <c r="AH82" i="33"/>
  <c r="AI48" i="33"/>
  <c r="AI52" i="33"/>
  <c r="B232" i="33"/>
  <c r="AH48" i="33"/>
  <c r="AI82" i="33"/>
  <c r="B98" i="33"/>
  <c r="I98" i="33"/>
  <c r="Q98" i="33"/>
  <c r="Y98" i="33"/>
  <c r="H7" i="33" l="1"/>
  <c r="AK246" i="33"/>
  <c r="H90" i="33"/>
  <c r="W7" i="33"/>
  <c r="AE246" i="33"/>
  <c r="S90" i="33"/>
  <c r="AJ246" i="33"/>
  <c r="I7" i="33"/>
  <c r="O7" i="33"/>
  <c r="AQ246" i="33"/>
  <c r="Y246" i="33"/>
  <c r="W90" i="33"/>
  <c r="AA246" i="33"/>
  <c r="R90" i="33"/>
  <c r="O90" i="33"/>
  <c r="Y7" i="33"/>
  <c r="D267" i="33"/>
  <c r="F231" i="33"/>
  <c r="AC7" i="33"/>
  <c r="M90" i="33"/>
  <c r="L90" i="33"/>
  <c r="L7" i="33"/>
  <c r="B241" i="33"/>
  <c r="K7" i="33"/>
  <c r="C241" i="33"/>
  <c r="K90" i="33"/>
  <c r="G7" i="33"/>
  <c r="X246" i="33"/>
  <c r="E90" i="33"/>
  <c r="W246" i="33"/>
  <c r="V246" i="33"/>
  <c r="D7" i="33"/>
  <c r="AI87" i="33"/>
  <c r="AH87" i="33"/>
  <c r="AI98" i="33"/>
  <c r="AH98" i="33"/>
  <c r="B7" i="33"/>
  <c r="AI89" i="33"/>
  <c r="AH89" i="33"/>
  <c r="B90" i="33"/>
  <c r="T246" i="33"/>
  <c r="C90" i="33"/>
  <c r="U246" i="33"/>
  <c r="C7" i="33"/>
  <c r="H226" i="33"/>
  <c r="E267" i="33" l="1"/>
  <c r="G231" i="33"/>
  <c r="F232" i="33"/>
  <c r="F108" i="33"/>
  <c r="K6" i="33"/>
  <c r="A7" i="33"/>
  <c r="I226" i="33"/>
  <c r="AH90" i="33"/>
  <c r="AI90" i="33"/>
  <c r="H231" i="33" l="1"/>
  <c r="F267" i="33"/>
  <c r="G232" i="33"/>
  <c r="G108" i="33"/>
  <c r="J226" i="33"/>
  <c r="G267" i="33" l="1"/>
  <c r="I231" i="33"/>
  <c r="H108" i="33"/>
  <c r="H232" i="33"/>
  <c r="K226" i="33"/>
  <c r="H267" i="33" l="1"/>
  <c r="J231" i="33"/>
  <c r="I108" i="33"/>
  <c r="L226" i="33"/>
  <c r="K231" i="33" l="1"/>
  <c r="I267" i="33"/>
  <c r="J108" i="33"/>
  <c r="M226" i="33"/>
  <c r="J267" i="33" l="1"/>
  <c r="L231" i="33"/>
  <c r="K108" i="33"/>
  <c r="N226" i="33"/>
  <c r="K267" i="33" l="1"/>
  <c r="M231" i="33"/>
  <c r="L108" i="33"/>
  <c r="O226" i="33"/>
  <c r="L267" i="33" l="1"/>
  <c r="N231" i="33"/>
  <c r="M108" i="33"/>
  <c r="P226" i="33"/>
  <c r="O231" i="33" l="1"/>
  <c r="M267" i="33"/>
  <c r="N108" i="33"/>
  <c r="N267" i="33" l="1"/>
  <c r="P231" i="33"/>
  <c r="O267" i="33" s="1"/>
  <c r="O108" i="33"/>
  <c r="B82" i="32"/>
  <c r="B98" i="32" s="1"/>
  <c r="B70" i="32"/>
  <c r="B66" i="32"/>
  <c r="B52" i="32"/>
  <c r="B48" i="32"/>
  <c r="AF271" i="32"/>
  <c r="AE271" i="32"/>
  <c r="AD271" i="32"/>
  <c r="AC271" i="32"/>
  <c r="AB271" i="32"/>
  <c r="AA271" i="32"/>
  <c r="Z271" i="32"/>
  <c r="Y271" i="32"/>
  <c r="X271" i="32"/>
  <c r="W271" i="32"/>
  <c r="V271" i="32"/>
  <c r="U271" i="32"/>
  <c r="T271" i="32"/>
  <c r="S271" i="32"/>
  <c r="R271" i="32"/>
  <c r="Q271" i="32"/>
  <c r="P271" i="32"/>
  <c r="O271" i="32"/>
  <c r="N271" i="32"/>
  <c r="M271" i="32"/>
  <c r="L271" i="32"/>
  <c r="K271" i="32"/>
  <c r="J271" i="32"/>
  <c r="I271" i="32"/>
  <c r="H271" i="32"/>
  <c r="G271" i="32"/>
  <c r="F271" i="32"/>
  <c r="E271" i="32"/>
  <c r="D271" i="32"/>
  <c r="C271" i="32"/>
  <c r="B271" i="32"/>
  <c r="A271" i="32"/>
  <c r="AF270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S270" i="32"/>
  <c r="R270" i="32"/>
  <c r="Q270" i="32"/>
  <c r="P270" i="32"/>
  <c r="O270" i="32"/>
  <c r="N270" i="32"/>
  <c r="M270" i="32"/>
  <c r="L270" i="32"/>
  <c r="K270" i="32"/>
  <c r="J270" i="32"/>
  <c r="I270" i="32"/>
  <c r="H270" i="32"/>
  <c r="G270" i="32"/>
  <c r="F270" i="32"/>
  <c r="E270" i="32"/>
  <c r="D270" i="32"/>
  <c r="C270" i="32"/>
  <c r="B270" i="32"/>
  <c r="A270" i="32"/>
  <c r="AF269" i="32"/>
  <c r="AE269" i="32"/>
  <c r="AD269" i="32"/>
  <c r="AC269" i="32"/>
  <c r="AB269" i="32"/>
  <c r="AA269" i="32"/>
  <c r="Z269" i="32"/>
  <c r="Y269" i="32"/>
  <c r="X269" i="32"/>
  <c r="W269" i="32"/>
  <c r="V269" i="32"/>
  <c r="U269" i="32"/>
  <c r="T269" i="32"/>
  <c r="S269" i="32"/>
  <c r="R269" i="32"/>
  <c r="Q269" i="32"/>
  <c r="P269" i="32"/>
  <c r="O269" i="32"/>
  <c r="N269" i="32"/>
  <c r="M269" i="32"/>
  <c r="L269" i="32"/>
  <c r="K269" i="32"/>
  <c r="J269" i="32"/>
  <c r="I269" i="32"/>
  <c r="H269" i="32"/>
  <c r="G269" i="32"/>
  <c r="F269" i="32"/>
  <c r="E269" i="32"/>
  <c r="D269" i="32"/>
  <c r="C269" i="32"/>
  <c r="B269" i="32"/>
  <c r="A269" i="32"/>
  <c r="AF268" i="32"/>
  <c r="AE268" i="32"/>
  <c r="AD268" i="32"/>
  <c r="AC268" i="32"/>
  <c r="AB268" i="32"/>
  <c r="AA268" i="32"/>
  <c r="Z268" i="32"/>
  <c r="Y268" i="32"/>
  <c r="X268" i="32"/>
  <c r="W268" i="32"/>
  <c r="V268" i="32"/>
  <c r="U268" i="32"/>
  <c r="T268" i="32"/>
  <c r="S268" i="32"/>
  <c r="R268" i="32"/>
  <c r="Q268" i="32"/>
  <c r="P268" i="32"/>
  <c r="O268" i="32"/>
  <c r="N268" i="32"/>
  <c r="M268" i="32"/>
  <c r="L268" i="32"/>
  <c r="K268" i="32"/>
  <c r="J268" i="32"/>
  <c r="I268" i="32"/>
  <c r="H268" i="32"/>
  <c r="G268" i="32"/>
  <c r="F268" i="32"/>
  <c r="E268" i="32"/>
  <c r="D268" i="32"/>
  <c r="C268" i="32"/>
  <c r="B268" i="32"/>
  <c r="A268" i="32"/>
  <c r="AE267" i="32"/>
  <c r="AD267" i="32"/>
  <c r="AC267" i="32"/>
  <c r="AB267" i="32"/>
  <c r="AA267" i="32"/>
  <c r="Z267" i="32"/>
  <c r="Y267" i="32"/>
  <c r="X267" i="32"/>
  <c r="W267" i="32"/>
  <c r="V267" i="32"/>
  <c r="U267" i="32"/>
  <c r="T267" i="32"/>
  <c r="S267" i="32"/>
  <c r="R267" i="32"/>
  <c r="Q267" i="32"/>
  <c r="P267" i="32"/>
  <c r="B267" i="32"/>
  <c r="S242" i="32"/>
  <c r="AG232" i="32"/>
  <c r="AF232" i="32"/>
  <c r="AE232" i="32"/>
  <c r="AD232" i="32"/>
  <c r="AC232" i="32"/>
  <c r="AB232" i="32"/>
  <c r="AA232" i="32"/>
  <c r="Z232" i="32"/>
  <c r="Y232" i="32"/>
  <c r="X232" i="32"/>
  <c r="W232" i="32"/>
  <c r="V232" i="32"/>
  <c r="U232" i="32"/>
  <c r="T232" i="32"/>
  <c r="S232" i="32"/>
  <c r="R232" i="32"/>
  <c r="Q232" i="32"/>
  <c r="C232" i="32"/>
  <c r="D231" i="32"/>
  <c r="C267" i="32" s="1"/>
  <c r="B231" i="32"/>
  <c r="AF267" i="32" s="1"/>
  <c r="D230" i="32"/>
  <c r="E230" i="32" s="1"/>
  <c r="F230" i="32" s="1"/>
  <c r="G230" i="32" s="1"/>
  <c r="H230" i="32" s="1"/>
  <c r="I230" i="32" s="1"/>
  <c r="J230" i="32" s="1"/>
  <c r="K230" i="32" s="1"/>
  <c r="L230" i="32" s="1"/>
  <c r="M230" i="32" s="1"/>
  <c r="N230" i="32" s="1"/>
  <c r="O230" i="32" s="1"/>
  <c r="P230" i="32" s="1"/>
  <c r="B230" i="32"/>
  <c r="D229" i="32"/>
  <c r="E229" i="32" s="1"/>
  <c r="F229" i="32" s="1"/>
  <c r="G229" i="32" s="1"/>
  <c r="H229" i="32" s="1"/>
  <c r="I229" i="32" s="1"/>
  <c r="B229" i="32"/>
  <c r="E228" i="32"/>
  <c r="F228" i="32" s="1"/>
  <c r="G228" i="32" s="1"/>
  <c r="H228" i="32" s="1"/>
  <c r="D228" i="32"/>
  <c r="B228" i="32"/>
  <c r="D227" i="32"/>
  <c r="B227" i="32"/>
  <c r="E226" i="32"/>
  <c r="F226" i="32" s="1"/>
  <c r="D226" i="32"/>
  <c r="B226" i="32"/>
  <c r="B232" i="32" s="1"/>
  <c r="AG224" i="32"/>
  <c r="AF224" i="32"/>
  <c r="AE224" i="32"/>
  <c r="AD224" i="32"/>
  <c r="AC224" i="32"/>
  <c r="AB224" i="32"/>
  <c r="AA224" i="32"/>
  <c r="Z224" i="32"/>
  <c r="Y224" i="32"/>
  <c r="X224" i="32"/>
  <c r="W224" i="32"/>
  <c r="V224" i="32"/>
  <c r="U224" i="32"/>
  <c r="T224" i="32"/>
  <c r="S224" i="32"/>
  <c r="R224" i="32"/>
  <c r="Q224" i="32"/>
  <c r="P224" i="32"/>
  <c r="O224" i="32"/>
  <c r="N224" i="32"/>
  <c r="M224" i="32"/>
  <c r="L224" i="32"/>
  <c r="K224" i="32"/>
  <c r="J224" i="32"/>
  <c r="I224" i="32"/>
  <c r="H224" i="32"/>
  <c r="G224" i="32"/>
  <c r="F224" i="32"/>
  <c r="E224" i="32"/>
  <c r="D224" i="32"/>
  <c r="C224" i="32"/>
  <c r="B224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F108" i="32"/>
  <c r="AE108" i="32"/>
  <c r="AD108" i="32"/>
  <c r="AC108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C108" i="32"/>
  <c r="AI107" i="32"/>
  <c r="AH107" i="32"/>
  <c r="AI106" i="32"/>
  <c r="AH106" i="32"/>
  <c r="AI105" i="32"/>
  <c r="AH105" i="32"/>
  <c r="AI104" i="32"/>
  <c r="AH104" i="32"/>
  <c r="AI103" i="32"/>
  <c r="AH103" i="32"/>
  <c r="AI102" i="32"/>
  <c r="AH102" i="32"/>
  <c r="AI101" i="32"/>
  <c r="AH101" i="32"/>
  <c r="AI100" i="32"/>
  <c r="AH100" i="32"/>
  <c r="AI99" i="32"/>
  <c r="AH99" i="32"/>
  <c r="AI97" i="32"/>
  <c r="AH97" i="32"/>
  <c r="AI96" i="32"/>
  <c r="AH96" i="32"/>
  <c r="AI95" i="32"/>
  <c r="AH95" i="32"/>
  <c r="AI94" i="32"/>
  <c r="AH94" i="32"/>
  <c r="AI93" i="32"/>
  <c r="AH93" i="32"/>
  <c r="AI92" i="32"/>
  <c r="AH92" i="32"/>
  <c r="AI91" i="32"/>
  <c r="AH91" i="32"/>
  <c r="AI88" i="32"/>
  <c r="AH88" i="32"/>
  <c r="AI86" i="32"/>
  <c r="AH86" i="32"/>
  <c r="AG86" i="32"/>
  <c r="AI85" i="32"/>
  <c r="AH85" i="32"/>
  <c r="AI84" i="32"/>
  <c r="AH84" i="32"/>
  <c r="AI83" i="32"/>
  <c r="AH83" i="32"/>
  <c r="AN82" i="32"/>
  <c r="AG82" i="32"/>
  <c r="AF82" i="32"/>
  <c r="AF98" i="32" s="1"/>
  <c r="AE82" i="32"/>
  <c r="AD5" i="32" s="1"/>
  <c r="AD82" i="32"/>
  <c r="AC5" i="32" s="1"/>
  <c r="AC82" i="32"/>
  <c r="AC98" i="32" s="1"/>
  <c r="AB82" i="32"/>
  <c r="AB98" i="32" s="1"/>
  <c r="AA82" i="32"/>
  <c r="AA98" i="32" s="1"/>
  <c r="Z82" i="32"/>
  <c r="Z98" i="32" s="1"/>
  <c r="X82" i="32"/>
  <c r="X98" i="32" s="1"/>
  <c r="W82" i="32"/>
  <c r="V5" i="32" s="1"/>
  <c r="V82" i="32"/>
  <c r="V98" i="32" s="1"/>
  <c r="U82" i="32"/>
  <c r="U98" i="32" s="1"/>
  <c r="T82" i="32"/>
  <c r="T98" i="32" s="1"/>
  <c r="S82" i="32"/>
  <c r="S98" i="32" s="1"/>
  <c r="R82" i="32"/>
  <c r="R98" i="32" s="1"/>
  <c r="Q82" i="32"/>
  <c r="Q98" i="32" s="1"/>
  <c r="P82" i="32"/>
  <c r="P98" i="32" s="1"/>
  <c r="O82" i="32"/>
  <c r="N5" i="32" s="1"/>
  <c r="N82" i="32"/>
  <c r="M5" i="32" s="1"/>
  <c r="M82" i="32"/>
  <c r="M98" i="32" s="1"/>
  <c r="L82" i="32"/>
  <c r="L98" i="32" s="1"/>
  <c r="K82" i="32"/>
  <c r="K98" i="32" s="1"/>
  <c r="J82" i="32"/>
  <c r="J98" i="32" s="1"/>
  <c r="I82" i="32"/>
  <c r="I98" i="32" s="1"/>
  <c r="H82" i="32"/>
  <c r="H98" i="32" s="1"/>
  <c r="G82" i="32"/>
  <c r="F5" i="32" s="1"/>
  <c r="F82" i="32"/>
  <c r="F98" i="32" s="1"/>
  <c r="E82" i="32"/>
  <c r="E98" i="32" s="1"/>
  <c r="D82" i="32"/>
  <c r="D98" i="32" s="1"/>
  <c r="C82" i="32"/>
  <c r="C98" i="32" s="1"/>
  <c r="AI81" i="32"/>
  <c r="AH81" i="32"/>
  <c r="AN80" i="32"/>
  <c r="AI80" i="32"/>
  <c r="AH80" i="32"/>
  <c r="AN79" i="32"/>
  <c r="AI79" i="32"/>
  <c r="AH79" i="32"/>
  <c r="AI78" i="32"/>
  <c r="AH78" i="32"/>
  <c r="AI77" i="32"/>
  <c r="AH77" i="32"/>
  <c r="AI76" i="32"/>
  <c r="AH76" i="32"/>
  <c r="AI75" i="32"/>
  <c r="AH75" i="32"/>
  <c r="AI74" i="32"/>
  <c r="AH74" i="32"/>
  <c r="AI73" i="32"/>
  <c r="AH73" i="32"/>
  <c r="AI72" i="32"/>
  <c r="AH72" i="32"/>
  <c r="AI71" i="32"/>
  <c r="AH71" i="32"/>
  <c r="AG70" i="32"/>
  <c r="AF70" i="32"/>
  <c r="AE70" i="32"/>
  <c r="AD70" i="32"/>
  <c r="AC70" i="32"/>
  <c r="AB70" i="32"/>
  <c r="AA70" i="32"/>
  <c r="Z70" i="32"/>
  <c r="X70" i="32"/>
  <c r="W70" i="32"/>
  <c r="V70" i="32"/>
  <c r="U70" i="32"/>
  <c r="T70" i="32"/>
  <c r="S70" i="32"/>
  <c r="R70" i="32"/>
  <c r="Q70" i="32"/>
  <c r="P70" i="32"/>
  <c r="O70" i="32"/>
  <c r="N70" i="32"/>
  <c r="M70" i="32"/>
  <c r="L70" i="32"/>
  <c r="AI69" i="32"/>
  <c r="AH69" i="32"/>
  <c r="AI68" i="32"/>
  <c r="AH68" i="32"/>
  <c r="AI67" i="32"/>
  <c r="AH67" i="32"/>
  <c r="AG66" i="32"/>
  <c r="AG3" i="32" s="1"/>
  <c r="AF66" i="32"/>
  <c r="AE66" i="32"/>
  <c r="AD66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AI65" i="32"/>
  <c r="AH65" i="32"/>
  <c r="AG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I51" i="32"/>
  <c r="AH51" i="32"/>
  <c r="AI50" i="32"/>
  <c r="AH50" i="32"/>
  <c r="AI49" i="32"/>
  <c r="AH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E5" i="32"/>
  <c r="Y5" i="32"/>
  <c r="X5" i="32"/>
  <c r="R5" i="32"/>
  <c r="AG4" i="32"/>
  <c r="K4" i="32"/>
  <c r="E4" i="32"/>
  <c r="H4" i="32" s="1"/>
  <c r="B4" i="32"/>
  <c r="S243" i="32" s="1"/>
  <c r="AG2" i="32"/>
  <c r="AG6" i="32" s="1"/>
  <c r="AC111" i="31"/>
  <c r="AB111" i="31"/>
  <c r="AB48" i="31"/>
  <c r="AB52" i="31"/>
  <c r="AB66" i="31"/>
  <c r="AB70" i="31"/>
  <c r="AB82" i="31"/>
  <c r="AN81" i="32" l="1"/>
  <c r="AG87" i="32"/>
  <c r="AG89" i="32"/>
  <c r="B108" i="32"/>
  <c r="AH108" i="33"/>
  <c r="AI108" i="33"/>
  <c r="D232" i="32"/>
  <c r="AF87" i="32"/>
  <c r="AF89" i="32" s="1"/>
  <c r="AX246" i="32" s="1"/>
  <c r="AE87" i="32"/>
  <c r="AE89" i="32" s="1"/>
  <c r="AW246" i="32" s="1"/>
  <c r="AD98" i="32"/>
  <c r="AD87" i="32"/>
  <c r="AD89" i="32" s="1"/>
  <c r="AB5" i="32"/>
  <c r="AC87" i="32"/>
  <c r="AC89" i="32" s="1"/>
  <c r="AC7" i="32" s="1"/>
  <c r="AA5" i="32"/>
  <c r="AB87" i="32"/>
  <c r="AB89" i="32" s="1"/>
  <c r="AB90" i="32" s="1"/>
  <c r="Z5" i="32"/>
  <c r="AA87" i="32"/>
  <c r="AA89" i="32" s="1"/>
  <c r="AA7" i="32" s="1"/>
  <c r="Z87" i="32"/>
  <c r="Z89" i="32" s="1"/>
  <c r="W5" i="32"/>
  <c r="X87" i="32"/>
  <c r="X89" i="32" s="1"/>
  <c r="X90" i="32" s="1"/>
  <c r="W87" i="32"/>
  <c r="W89" i="32" s="1"/>
  <c r="AO246" i="32" s="1"/>
  <c r="V87" i="32"/>
  <c r="V89" i="32" s="1"/>
  <c r="V7" i="32" s="1"/>
  <c r="U5" i="32"/>
  <c r="T5" i="32"/>
  <c r="U87" i="32"/>
  <c r="U89" i="32" s="1"/>
  <c r="U7" i="32" s="1"/>
  <c r="S5" i="32"/>
  <c r="T87" i="32"/>
  <c r="T89" i="32" s="1"/>
  <c r="T90" i="32" s="1"/>
  <c r="AH70" i="32"/>
  <c r="S87" i="32"/>
  <c r="S89" i="32" s="1"/>
  <c r="S90" i="32" s="1"/>
  <c r="Q5" i="32"/>
  <c r="R87" i="32"/>
  <c r="R89" i="32" s="1"/>
  <c r="AJ246" i="32" s="1"/>
  <c r="P5" i="32"/>
  <c r="Q87" i="32"/>
  <c r="Q89" i="32" s="1"/>
  <c r="O5" i="32"/>
  <c r="P87" i="32"/>
  <c r="P89" i="32" s="1"/>
  <c r="P90" i="32" s="1"/>
  <c r="AI70" i="32"/>
  <c r="O87" i="32"/>
  <c r="O89" i="32" s="1"/>
  <c r="AG246" i="32" s="1"/>
  <c r="N98" i="32"/>
  <c r="AI52" i="32"/>
  <c r="N87" i="32"/>
  <c r="N89" i="32" s="1"/>
  <c r="N90" i="32" s="1"/>
  <c r="L5" i="32"/>
  <c r="M87" i="32"/>
  <c r="M89" i="32" s="1"/>
  <c r="AE246" i="32" s="1"/>
  <c r="K5" i="32"/>
  <c r="L87" i="32"/>
  <c r="L89" i="32" s="1"/>
  <c r="L7" i="32" s="1"/>
  <c r="J5" i="32"/>
  <c r="K87" i="32"/>
  <c r="K89" i="32" s="1"/>
  <c r="K90" i="32" s="1"/>
  <c r="I5" i="32"/>
  <c r="J87" i="32"/>
  <c r="J89" i="32" s="1"/>
  <c r="J90" i="32" s="1"/>
  <c r="H5" i="32"/>
  <c r="I87" i="32"/>
  <c r="I89" i="32" s="1"/>
  <c r="AA246" i="32" s="1"/>
  <c r="G5" i="32"/>
  <c r="H87" i="32"/>
  <c r="H89" i="32" s="1"/>
  <c r="H90" i="32" s="1"/>
  <c r="G87" i="32"/>
  <c r="G89" i="32" s="1"/>
  <c r="G7" i="32" s="1"/>
  <c r="E5" i="32"/>
  <c r="F87" i="32"/>
  <c r="F89" i="32" s="1"/>
  <c r="X246" i="32" s="1"/>
  <c r="AI66" i="32"/>
  <c r="D5" i="32"/>
  <c r="E87" i="32"/>
  <c r="E89" i="32" s="1"/>
  <c r="E7" i="32" s="1"/>
  <c r="C5" i="32"/>
  <c r="D87" i="32"/>
  <c r="D89" i="32" s="1"/>
  <c r="D7" i="32" s="1"/>
  <c r="B5" i="32"/>
  <c r="C87" i="32"/>
  <c r="C89" i="32" s="1"/>
  <c r="U246" i="32" s="1"/>
  <c r="AF5" i="32"/>
  <c r="B87" i="32"/>
  <c r="B89" i="32" s="1"/>
  <c r="B90" i="32" s="1"/>
  <c r="AD7" i="32"/>
  <c r="AV246" i="32"/>
  <c r="AD90" i="32"/>
  <c r="AA90" i="32"/>
  <c r="AS246" i="32"/>
  <c r="AE90" i="32"/>
  <c r="AE7" i="32"/>
  <c r="AM246" i="32"/>
  <c r="M7" i="32"/>
  <c r="F7" i="32"/>
  <c r="P7" i="32"/>
  <c r="Q90" i="32"/>
  <c r="Q7" i="32"/>
  <c r="AI246" i="32"/>
  <c r="Y7" i="32"/>
  <c r="AQ246" i="32"/>
  <c r="Z90" i="32"/>
  <c r="Z7" i="32"/>
  <c r="AR246" i="32"/>
  <c r="S7" i="32"/>
  <c r="AF90" i="32"/>
  <c r="G226" i="32"/>
  <c r="AT246" i="32"/>
  <c r="J229" i="32"/>
  <c r="K229" i="32" s="1"/>
  <c r="L229" i="32" s="1"/>
  <c r="M229" i="32" s="1"/>
  <c r="N229" i="32" s="1"/>
  <c r="O229" i="32" s="1"/>
  <c r="P229" i="32" s="1"/>
  <c r="D243" i="32"/>
  <c r="AH66" i="32"/>
  <c r="G98" i="32"/>
  <c r="O98" i="32"/>
  <c r="W98" i="32"/>
  <c r="AE98" i="32"/>
  <c r="D108" i="32"/>
  <c r="E227" i="32"/>
  <c r="E231" i="32"/>
  <c r="AH82" i="32"/>
  <c r="AH48" i="32"/>
  <c r="AH52" i="32"/>
  <c r="AI82" i="32"/>
  <c r="AI48" i="32"/>
  <c r="L111" i="31"/>
  <c r="K111" i="31"/>
  <c r="K48" i="31"/>
  <c r="K52" i="31"/>
  <c r="K66" i="31"/>
  <c r="K82" i="31"/>
  <c r="J5" i="31" s="1"/>
  <c r="J111" i="31"/>
  <c r="I111" i="31"/>
  <c r="H48" i="31"/>
  <c r="I48" i="31"/>
  <c r="H52" i="31"/>
  <c r="I52" i="31"/>
  <c r="H66" i="31"/>
  <c r="I66" i="31"/>
  <c r="H82" i="31"/>
  <c r="H98" i="31" s="1"/>
  <c r="I82" i="31"/>
  <c r="I98" i="31" s="1"/>
  <c r="H111" i="31"/>
  <c r="G111" i="31"/>
  <c r="AI111" i="31" s="1"/>
  <c r="E48" i="31"/>
  <c r="F48" i="31"/>
  <c r="G48" i="31"/>
  <c r="E52" i="31"/>
  <c r="F52" i="31"/>
  <c r="G52" i="31"/>
  <c r="E66" i="31"/>
  <c r="F66" i="31"/>
  <c r="G66" i="31"/>
  <c r="E82" i="31"/>
  <c r="E98" i="31" s="1"/>
  <c r="F82" i="31"/>
  <c r="F98" i="31" s="1"/>
  <c r="G82" i="31"/>
  <c r="G98" i="31" s="1"/>
  <c r="AF271" i="31"/>
  <c r="AE271" i="31"/>
  <c r="AD271" i="31"/>
  <c r="AC271" i="31"/>
  <c r="AB271" i="31"/>
  <c r="AA271" i="31"/>
  <c r="Z271" i="31"/>
  <c r="Y271" i="31"/>
  <c r="X271" i="31"/>
  <c r="W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271" i="31"/>
  <c r="AF270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A270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S269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A269" i="31"/>
  <c r="AF268" i="31"/>
  <c r="AE268" i="31"/>
  <c r="AD268" i="31"/>
  <c r="AC268" i="31"/>
  <c r="AB268" i="31"/>
  <c r="AA268" i="31"/>
  <c r="Z268" i="31"/>
  <c r="Y268" i="31"/>
  <c r="X268" i="31"/>
  <c r="W268" i="31"/>
  <c r="V268" i="31"/>
  <c r="U268" i="31"/>
  <c r="T268" i="31"/>
  <c r="S268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C268" i="31"/>
  <c r="B268" i="31"/>
  <c r="A268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C267" i="31"/>
  <c r="B267" i="31"/>
  <c r="S242" i="31"/>
  <c r="AG232" i="31"/>
  <c r="AF232" i="31"/>
  <c r="AE232" i="31"/>
  <c r="AD232" i="31"/>
  <c r="AC232" i="31"/>
  <c r="AB232" i="31"/>
  <c r="AA232" i="31"/>
  <c r="Z232" i="31"/>
  <c r="Y232" i="31"/>
  <c r="X232" i="31"/>
  <c r="W232" i="31"/>
  <c r="V232" i="31"/>
  <c r="U232" i="31"/>
  <c r="T232" i="31"/>
  <c r="S232" i="31"/>
  <c r="R232" i="31"/>
  <c r="Q232" i="31"/>
  <c r="C232" i="31"/>
  <c r="E231" i="31"/>
  <c r="D267" i="31" s="1"/>
  <c r="D231" i="31"/>
  <c r="B231" i="31"/>
  <c r="AF267" i="31" s="1"/>
  <c r="D230" i="31"/>
  <c r="E230" i="31" s="1"/>
  <c r="F230" i="31" s="1"/>
  <c r="G230" i="31" s="1"/>
  <c r="H230" i="31" s="1"/>
  <c r="I230" i="31" s="1"/>
  <c r="J230" i="31" s="1"/>
  <c r="K230" i="31" s="1"/>
  <c r="L230" i="31" s="1"/>
  <c r="M230" i="31" s="1"/>
  <c r="N230" i="31" s="1"/>
  <c r="O230" i="31" s="1"/>
  <c r="P230" i="31" s="1"/>
  <c r="B230" i="31"/>
  <c r="D229" i="31"/>
  <c r="E229" i="31" s="1"/>
  <c r="F229" i="31" s="1"/>
  <c r="G229" i="31" s="1"/>
  <c r="H229" i="31" s="1"/>
  <c r="I229" i="31" s="1"/>
  <c r="B229" i="31"/>
  <c r="E228" i="31"/>
  <c r="F228" i="31" s="1"/>
  <c r="G228" i="31" s="1"/>
  <c r="H228" i="31" s="1"/>
  <c r="D228" i="31"/>
  <c r="B228" i="31"/>
  <c r="D227" i="31"/>
  <c r="E227" i="31" s="1"/>
  <c r="F227" i="31" s="1"/>
  <c r="G227" i="31" s="1"/>
  <c r="H227" i="31" s="1"/>
  <c r="I227" i="31" s="1"/>
  <c r="J227" i="31" s="1"/>
  <c r="K227" i="31" s="1"/>
  <c r="L227" i="31" s="1"/>
  <c r="M227" i="31" s="1"/>
  <c r="N227" i="31" s="1"/>
  <c r="O227" i="31" s="1"/>
  <c r="P227" i="31" s="1"/>
  <c r="B227" i="31"/>
  <c r="E226" i="31"/>
  <c r="F226" i="31" s="1"/>
  <c r="D226" i="31"/>
  <c r="B226" i="3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0" i="31"/>
  <c r="AH110" i="31"/>
  <c r="AI109" i="31"/>
  <c r="AH109" i="31"/>
  <c r="AF108" i="31"/>
  <c r="AE108" i="31"/>
  <c r="AD108" i="31"/>
  <c r="AC108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D108" i="31"/>
  <c r="C108" i="31"/>
  <c r="B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I100" i="31"/>
  <c r="AH100" i="31"/>
  <c r="AI99" i="31"/>
  <c r="AH99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88" i="31"/>
  <c r="AH88" i="31"/>
  <c r="AI86" i="31"/>
  <c r="AH86" i="31"/>
  <c r="AG86" i="31"/>
  <c r="AI85" i="31"/>
  <c r="AH85" i="31"/>
  <c r="AI84" i="31"/>
  <c r="AH84" i="31"/>
  <c r="AI83" i="31"/>
  <c r="AH83" i="31"/>
  <c r="AN82" i="31"/>
  <c r="AG82" i="31"/>
  <c r="AF82" i="31"/>
  <c r="AF98" i="31" s="1"/>
  <c r="AE82" i="31"/>
  <c r="AE98" i="31" s="1"/>
  <c r="AD82" i="31"/>
  <c r="AD98" i="31" s="1"/>
  <c r="AC82" i="31"/>
  <c r="AC98" i="31" s="1"/>
  <c r="AB98" i="31"/>
  <c r="AA82" i="31"/>
  <c r="AA98" i="31" s="1"/>
  <c r="Z82" i="31"/>
  <c r="Z98" i="31" s="1"/>
  <c r="Y82" i="31"/>
  <c r="Y98" i="31" s="1"/>
  <c r="X82" i="31"/>
  <c r="X98" i="31" s="1"/>
  <c r="W82" i="31"/>
  <c r="W98" i="31" s="1"/>
  <c r="V82" i="31"/>
  <c r="V98" i="31" s="1"/>
  <c r="U82" i="31"/>
  <c r="U98" i="31" s="1"/>
  <c r="T82" i="31"/>
  <c r="T98" i="31" s="1"/>
  <c r="S82" i="31"/>
  <c r="S98" i="31" s="1"/>
  <c r="R82" i="31"/>
  <c r="R98" i="31" s="1"/>
  <c r="Q82" i="31"/>
  <c r="Q98" i="31" s="1"/>
  <c r="P82" i="31"/>
  <c r="P98" i="31" s="1"/>
  <c r="O82" i="31"/>
  <c r="O98" i="31" s="1"/>
  <c r="N82" i="31"/>
  <c r="N98" i="31" s="1"/>
  <c r="M82" i="31"/>
  <c r="M98" i="31" s="1"/>
  <c r="L82" i="31"/>
  <c r="L98" i="31" s="1"/>
  <c r="J82" i="31"/>
  <c r="J98" i="31" s="1"/>
  <c r="D82" i="31"/>
  <c r="D98" i="31" s="1"/>
  <c r="C82" i="31"/>
  <c r="C98" i="31" s="1"/>
  <c r="B82" i="31"/>
  <c r="B98" i="31" s="1"/>
  <c r="AI81" i="31"/>
  <c r="AH81" i="31"/>
  <c r="AN80" i="31"/>
  <c r="AI80" i="31"/>
  <c r="AH80" i="31"/>
  <c r="AN79" i="3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I71" i="31"/>
  <c r="AH71" i="31"/>
  <c r="AG70" i="31"/>
  <c r="AF70" i="31"/>
  <c r="AE70" i="31"/>
  <c r="AD70" i="31"/>
  <c r="AC70" i="31"/>
  <c r="AA70" i="31"/>
  <c r="Z70" i="31"/>
  <c r="Y70" i="31"/>
  <c r="X70" i="31"/>
  <c r="W70" i="31"/>
  <c r="V70" i="31"/>
  <c r="U70" i="31"/>
  <c r="T70" i="31"/>
  <c r="S70" i="31"/>
  <c r="R70" i="31"/>
  <c r="Q70" i="31"/>
  <c r="P70" i="31"/>
  <c r="O70" i="31"/>
  <c r="N70" i="31"/>
  <c r="M70" i="31"/>
  <c r="L70" i="31"/>
  <c r="B70" i="31"/>
  <c r="AI69" i="31"/>
  <c r="AH69" i="31"/>
  <c r="AI68" i="31"/>
  <c r="AH68" i="31"/>
  <c r="AI67" i="31"/>
  <c r="AH67" i="31"/>
  <c r="AF66" i="31"/>
  <c r="AE66" i="31"/>
  <c r="AD66" i="31"/>
  <c r="AC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J66" i="31"/>
  <c r="D66" i="31"/>
  <c r="C66" i="31"/>
  <c r="B66" i="31"/>
  <c r="AI65" i="31"/>
  <c r="AH65" i="31"/>
  <c r="AG65" i="31"/>
  <c r="AG66" i="31" s="1"/>
  <c r="AG3" i="31" s="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G52" i="31"/>
  <c r="AF52" i="31"/>
  <c r="AE52" i="31"/>
  <c r="AD52" i="31"/>
  <c r="AC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J52" i="31"/>
  <c r="D52" i="31"/>
  <c r="C52" i="31"/>
  <c r="B52" i="31"/>
  <c r="AI51" i="31"/>
  <c r="AH51" i="31"/>
  <c r="AI50" i="31"/>
  <c r="AH50" i="31"/>
  <c r="AI49" i="31"/>
  <c r="AH49" i="31"/>
  <c r="AG48" i="31"/>
  <c r="AF48" i="31"/>
  <c r="AE48" i="31"/>
  <c r="AD48" i="31"/>
  <c r="AC48" i="31"/>
  <c r="AB87" i="31"/>
  <c r="AB89" i="31" s="1"/>
  <c r="AA48" i="31"/>
  <c r="Z48" i="31"/>
  <c r="Y48" i="31"/>
  <c r="X48" i="31"/>
  <c r="W48" i="31"/>
  <c r="V48" i="31"/>
  <c r="U48" i="31"/>
  <c r="U87" i="31" s="1"/>
  <c r="U89" i="31" s="1"/>
  <c r="T48" i="31"/>
  <c r="S48" i="31"/>
  <c r="R48" i="31"/>
  <c r="Q48" i="31"/>
  <c r="P48" i="31"/>
  <c r="O48" i="31"/>
  <c r="N48" i="31"/>
  <c r="M48" i="31"/>
  <c r="L48" i="31"/>
  <c r="J48" i="31"/>
  <c r="D48" i="31"/>
  <c r="C48" i="31"/>
  <c r="B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A5" i="31"/>
  <c r="S5" i="31"/>
  <c r="H5" i="31"/>
  <c r="G5" i="31"/>
  <c r="D5" i="31"/>
  <c r="AG4" i="31"/>
  <c r="K4" i="31"/>
  <c r="E4" i="31"/>
  <c r="H4" i="31" s="1"/>
  <c r="B4" i="31"/>
  <c r="S243" i="31" s="1"/>
  <c r="AG2" i="31"/>
  <c r="AC111" i="30"/>
  <c r="U48" i="30"/>
  <c r="U52" i="30"/>
  <c r="AN81" i="31" l="1"/>
  <c r="G90" i="32"/>
  <c r="O90" i="32"/>
  <c r="B232" i="31"/>
  <c r="E87" i="31"/>
  <c r="E89" i="31" s="1"/>
  <c r="E90" i="31" s="1"/>
  <c r="C90" i="32"/>
  <c r="D232" i="31"/>
  <c r="AB246" i="32"/>
  <c r="W90" i="32"/>
  <c r="V90" i="32"/>
  <c r="C7" i="32"/>
  <c r="AG6" i="31"/>
  <c r="E108" i="31"/>
  <c r="J7" i="32"/>
  <c r="AF246" i="32"/>
  <c r="F90" i="32"/>
  <c r="W7" i="32"/>
  <c r="AN246" i="32"/>
  <c r="F231" i="31"/>
  <c r="E267" i="31" s="1"/>
  <c r="N7" i="32"/>
  <c r="AF7" i="32"/>
  <c r="AC90" i="32"/>
  <c r="AU246" i="32"/>
  <c r="AB7" i="32"/>
  <c r="AP246" i="32"/>
  <c r="X7" i="32"/>
  <c r="U90" i="32"/>
  <c r="AL246" i="32"/>
  <c r="T7" i="32"/>
  <c r="AK246" i="32"/>
  <c r="R7" i="32"/>
  <c r="R90" i="32"/>
  <c r="AH246" i="32"/>
  <c r="AI98" i="32"/>
  <c r="O7" i="32"/>
  <c r="M90" i="32"/>
  <c r="L90" i="32"/>
  <c r="AD246" i="32"/>
  <c r="AC246" i="32"/>
  <c r="K7" i="32"/>
  <c r="I7" i="32"/>
  <c r="I90" i="32"/>
  <c r="B241" i="32"/>
  <c r="Z246" i="32"/>
  <c r="H7" i="32"/>
  <c r="C241" i="32"/>
  <c r="Y246" i="32"/>
  <c r="E90" i="32"/>
  <c r="W246" i="32"/>
  <c r="D90" i="32"/>
  <c r="V246" i="32"/>
  <c r="AI87" i="32"/>
  <c r="AH87" i="32"/>
  <c r="F227" i="32"/>
  <c r="E232" i="32"/>
  <c r="AI89" i="32"/>
  <c r="AH89" i="32"/>
  <c r="B7" i="32"/>
  <c r="T246" i="32"/>
  <c r="AH98" i="32"/>
  <c r="H226" i="32"/>
  <c r="D267" i="32"/>
  <c r="F231" i="32"/>
  <c r="E108" i="32"/>
  <c r="AE5" i="31"/>
  <c r="AF87" i="31"/>
  <c r="AF89" i="31" s="1"/>
  <c r="AD5" i="31"/>
  <c r="AE87" i="31"/>
  <c r="AE89" i="31" s="1"/>
  <c r="AE7" i="31" s="1"/>
  <c r="AD87" i="31"/>
  <c r="AD89" i="31" s="1"/>
  <c r="AD90" i="31" s="1"/>
  <c r="AC5" i="31"/>
  <c r="AB5" i="31"/>
  <c r="AC87" i="31"/>
  <c r="AC89" i="31" s="1"/>
  <c r="Z5" i="31"/>
  <c r="AA87" i="31"/>
  <c r="AA89" i="31" s="1"/>
  <c r="AS246" i="31" s="1"/>
  <c r="Y5" i="31"/>
  <c r="X5" i="31"/>
  <c r="Y87" i="31"/>
  <c r="Y89" i="31" s="1"/>
  <c r="Y90" i="31" s="1"/>
  <c r="W5" i="31"/>
  <c r="V5" i="31"/>
  <c r="W87" i="31"/>
  <c r="W89" i="31" s="1"/>
  <c r="U5" i="31"/>
  <c r="T5" i="31"/>
  <c r="Z87" i="31"/>
  <c r="Z89" i="31" s="1"/>
  <c r="Z90" i="31" s="1"/>
  <c r="V87" i="31"/>
  <c r="V89" i="31" s="1"/>
  <c r="V7" i="31" s="1"/>
  <c r="X87" i="31"/>
  <c r="X89" i="31" s="1"/>
  <c r="X90" i="31" s="1"/>
  <c r="R5" i="31"/>
  <c r="T87" i="31"/>
  <c r="T89" i="31" s="1"/>
  <c r="T7" i="31" s="1"/>
  <c r="S87" i="31"/>
  <c r="S89" i="31" s="1"/>
  <c r="Q5" i="31"/>
  <c r="R87" i="31"/>
  <c r="R89" i="31" s="1"/>
  <c r="Q87" i="31"/>
  <c r="Q89" i="31" s="1"/>
  <c r="P5" i="31"/>
  <c r="O5" i="31"/>
  <c r="AI70" i="31"/>
  <c r="P87" i="31"/>
  <c r="P89" i="31" s="1"/>
  <c r="P90" i="31" s="1"/>
  <c r="N5" i="31"/>
  <c r="O87" i="31"/>
  <c r="O89" i="31" s="1"/>
  <c r="M5" i="31"/>
  <c r="N87" i="31"/>
  <c r="N89" i="31" s="1"/>
  <c r="AF246" i="31" s="1"/>
  <c r="L5" i="31"/>
  <c r="M87" i="31"/>
  <c r="M89" i="31" s="1"/>
  <c r="AE246" i="31" s="1"/>
  <c r="K5" i="31"/>
  <c r="K87" i="31"/>
  <c r="K89" i="31" s="1"/>
  <c r="K90" i="31" s="1"/>
  <c r="L87" i="31"/>
  <c r="L89" i="31" s="1"/>
  <c r="L90" i="31" s="1"/>
  <c r="K98" i="31"/>
  <c r="I5" i="31"/>
  <c r="J87" i="31"/>
  <c r="J89" i="31" s="1"/>
  <c r="J7" i="31" s="1"/>
  <c r="H87" i="31"/>
  <c r="H89" i="31" s="1"/>
  <c r="H90" i="31" s="1"/>
  <c r="I87" i="31"/>
  <c r="I89" i="31" s="1"/>
  <c r="I90" i="31" s="1"/>
  <c r="AH111" i="31"/>
  <c r="E5" i="31"/>
  <c r="F87" i="31"/>
  <c r="F89" i="31" s="1"/>
  <c r="F90" i="31" s="1"/>
  <c r="F5" i="31"/>
  <c r="G87" i="31"/>
  <c r="G89" i="31" s="1"/>
  <c r="G90" i="31" s="1"/>
  <c r="C5" i="31"/>
  <c r="B5" i="31"/>
  <c r="C87" i="31"/>
  <c r="C89" i="31" s="1"/>
  <c r="C90" i="31" s="1"/>
  <c r="AI66" i="31"/>
  <c r="D87" i="31"/>
  <c r="D89" i="31" s="1"/>
  <c r="D7" i="31" s="1"/>
  <c r="AI52" i="31"/>
  <c r="AF5" i="31"/>
  <c r="B87" i="31"/>
  <c r="S90" i="31"/>
  <c r="S7" i="31"/>
  <c r="AK246" i="31"/>
  <c r="AA90" i="31"/>
  <c r="AA7" i="31"/>
  <c r="G226" i="31"/>
  <c r="F232" i="31"/>
  <c r="R90" i="31"/>
  <c r="R7" i="31"/>
  <c r="AJ246" i="31"/>
  <c r="E7" i="31"/>
  <c r="U7" i="31"/>
  <c r="AM246" i="31"/>
  <c r="U90" i="31"/>
  <c r="AC7" i="31"/>
  <c r="AU246" i="31"/>
  <c r="AC90" i="31"/>
  <c r="B89" i="31"/>
  <c r="X246" i="31"/>
  <c r="F7" i="31"/>
  <c r="N90" i="31"/>
  <c r="N7" i="31"/>
  <c r="AN246" i="31"/>
  <c r="V90" i="31"/>
  <c r="AV246" i="31"/>
  <c r="AG89" i="31"/>
  <c r="J229" i="31"/>
  <c r="K229" i="31" s="1"/>
  <c r="L229" i="31" s="1"/>
  <c r="M229" i="31" s="1"/>
  <c r="N229" i="31" s="1"/>
  <c r="O229" i="31" s="1"/>
  <c r="P229" i="31" s="1"/>
  <c r="Y246" i="31"/>
  <c r="AG246" i="31"/>
  <c r="O90" i="31"/>
  <c r="O7" i="31"/>
  <c r="AO246" i="31"/>
  <c r="W90" i="31"/>
  <c r="W7" i="31"/>
  <c r="AW246" i="31"/>
  <c r="AE90" i="31"/>
  <c r="AI98" i="31"/>
  <c r="AH98" i="31"/>
  <c r="AH246" i="31"/>
  <c r="AF90" i="31"/>
  <c r="AF7" i="31"/>
  <c r="AX246" i="31"/>
  <c r="AB90" i="31"/>
  <c r="AB7" i="31"/>
  <c r="AT246" i="31"/>
  <c r="AA246" i="31"/>
  <c r="Q90" i="31"/>
  <c r="Q7" i="31"/>
  <c r="AI246" i="31"/>
  <c r="AQ246" i="31"/>
  <c r="AG87" i="31"/>
  <c r="AH70" i="31"/>
  <c r="E232" i="31"/>
  <c r="D243" i="31"/>
  <c r="AH66" i="31"/>
  <c r="AH82" i="31"/>
  <c r="G231" i="31"/>
  <c r="G108" i="31" s="1"/>
  <c r="AH48" i="31"/>
  <c r="AH52" i="31"/>
  <c r="AI82" i="31"/>
  <c r="AI48" i="31"/>
  <c r="I7" i="31" l="1"/>
  <c r="P7" i="31"/>
  <c r="AL246" i="31"/>
  <c r="Y7" i="31"/>
  <c r="Z246" i="31"/>
  <c r="T90" i="31"/>
  <c r="AD7" i="31"/>
  <c r="H7" i="31"/>
  <c r="W246" i="31"/>
  <c r="F108" i="31"/>
  <c r="A7" i="32"/>
  <c r="K6" i="32"/>
  <c r="E267" i="32"/>
  <c r="G231" i="32"/>
  <c r="F108" i="32"/>
  <c r="AI90" i="32"/>
  <c r="AH90" i="32"/>
  <c r="I226" i="32"/>
  <c r="G227" i="32"/>
  <c r="F232" i="32"/>
  <c r="AR246" i="31"/>
  <c r="Z7" i="31"/>
  <c r="AP246" i="31"/>
  <c r="X7" i="31"/>
  <c r="K7" i="31"/>
  <c r="M90" i="31"/>
  <c r="M7" i="31"/>
  <c r="L7" i="31"/>
  <c r="AD246" i="31"/>
  <c r="J90" i="31"/>
  <c r="AC246" i="31"/>
  <c r="AB246" i="31"/>
  <c r="B241" i="31"/>
  <c r="C241" i="31"/>
  <c r="G7" i="31"/>
  <c r="U246" i="31"/>
  <c r="C7" i="31"/>
  <c r="V246" i="31"/>
  <c r="D90" i="31"/>
  <c r="AI87" i="31"/>
  <c r="AH87" i="31"/>
  <c r="F267" i="31"/>
  <c r="H231" i="31"/>
  <c r="B90" i="31"/>
  <c r="AI89" i="31"/>
  <c r="AH89" i="31"/>
  <c r="B7" i="31"/>
  <c r="T246" i="31"/>
  <c r="H226" i="31"/>
  <c r="G232" i="31"/>
  <c r="H108" i="31" l="1"/>
  <c r="J226" i="32"/>
  <c r="F267" i="32"/>
  <c r="H231" i="32"/>
  <c r="G108" i="32"/>
  <c r="H227" i="32"/>
  <c r="G232" i="32"/>
  <c r="A7" i="31"/>
  <c r="K6" i="31"/>
  <c r="AI90" i="31"/>
  <c r="AH90" i="31"/>
  <c r="G267" i="31"/>
  <c r="I231" i="31"/>
  <c r="I226" i="31"/>
  <c r="I108" i="31" s="1"/>
  <c r="H232" i="31"/>
  <c r="G267" i="32" l="1"/>
  <c r="I231" i="32"/>
  <c r="H108" i="32"/>
  <c r="K226" i="32"/>
  <c r="I227" i="32"/>
  <c r="H232" i="32"/>
  <c r="J226" i="31"/>
  <c r="H267" i="31"/>
  <c r="J231" i="31"/>
  <c r="J227" i="32" l="1"/>
  <c r="L226" i="32"/>
  <c r="H267" i="32"/>
  <c r="J231" i="32"/>
  <c r="I108" i="32"/>
  <c r="K231" i="31"/>
  <c r="I267" i="31"/>
  <c r="J108" i="31"/>
  <c r="K226" i="31"/>
  <c r="K108" i="31" s="1"/>
  <c r="M226" i="32" l="1"/>
  <c r="K231" i="32"/>
  <c r="I267" i="32"/>
  <c r="J108" i="32"/>
  <c r="K227" i="32"/>
  <c r="J267" i="31"/>
  <c r="L231" i="31"/>
  <c r="L226" i="31"/>
  <c r="L227" i="32" l="1"/>
  <c r="J267" i="32"/>
  <c r="L231" i="32"/>
  <c r="K108" i="32"/>
  <c r="N226" i="32"/>
  <c r="M226" i="31"/>
  <c r="L108" i="31"/>
  <c r="K267" i="31"/>
  <c r="M231" i="31"/>
  <c r="O226" i="32" l="1"/>
  <c r="K267" i="32"/>
  <c r="M231" i="32"/>
  <c r="L108" i="32"/>
  <c r="M227" i="32"/>
  <c r="L267" i="31"/>
  <c r="N231" i="31"/>
  <c r="N226" i="31"/>
  <c r="M108" i="31"/>
  <c r="N227" i="32" l="1"/>
  <c r="L267" i="32"/>
  <c r="N231" i="32"/>
  <c r="M108" i="32"/>
  <c r="P226" i="32"/>
  <c r="O226" i="31"/>
  <c r="N108" i="31"/>
  <c r="M267" i="31"/>
  <c r="O231" i="31"/>
  <c r="M267" i="32" l="1"/>
  <c r="O231" i="32"/>
  <c r="N108" i="32"/>
  <c r="O227" i="32"/>
  <c r="N267" i="31"/>
  <c r="P231" i="31"/>
  <c r="O267" i="31" s="1"/>
  <c r="P226" i="31"/>
  <c r="O108" i="31"/>
  <c r="P227" i="32" l="1"/>
  <c r="N267" i="32"/>
  <c r="P231" i="32"/>
  <c r="O267" i="32" s="1"/>
  <c r="O108" i="32"/>
  <c r="AH108" i="31"/>
  <c r="AI108" i="31"/>
  <c r="AI108" i="32" l="1"/>
  <c r="AH108" i="32"/>
  <c r="AF271" i="30" l="1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A271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B270" i="30"/>
  <c r="A270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B269" i="30"/>
  <c r="A269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B268" i="30"/>
  <c r="A268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B267" i="30"/>
  <c r="S24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C232" i="30"/>
  <c r="D231" i="30"/>
  <c r="C267" i="30" s="1"/>
  <c r="B231" i="30"/>
  <c r="AF267" i="30" s="1"/>
  <c r="D230" i="30"/>
  <c r="E230" i="30" s="1"/>
  <c r="F230" i="30" s="1"/>
  <c r="G230" i="30" s="1"/>
  <c r="H230" i="30" s="1"/>
  <c r="I230" i="30" s="1"/>
  <c r="J230" i="30" s="1"/>
  <c r="K230" i="30" s="1"/>
  <c r="L230" i="30" s="1"/>
  <c r="M230" i="30" s="1"/>
  <c r="N230" i="30" s="1"/>
  <c r="O230" i="30" s="1"/>
  <c r="P230" i="30" s="1"/>
  <c r="B230" i="30"/>
  <c r="D229" i="30"/>
  <c r="E229" i="30" s="1"/>
  <c r="F229" i="30" s="1"/>
  <c r="G229" i="30" s="1"/>
  <c r="H229" i="30" s="1"/>
  <c r="I229" i="30" s="1"/>
  <c r="B229" i="30"/>
  <c r="D228" i="30"/>
  <c r="E228" i="30" s="1"/>
  <c r="F228" i="30" s="1"/>
  <c r="G228" i="30" s="1"/>
  <c r="H228" i="30" s="1"/>
  <c r="B228" i="30"/>
  <c r="E227" i="30"/>
  <c r="F227" i="30" s="1"/>
  <c r="G227" i="30" s="1"/>
  <c r="H227" i="30" s="1"/>
  <c r="I227" i="30" s="1"/>
  <c r="J227" i="30" s="1"/>
  <c r="K227" i="30" s="1"/>
  <c r="L227" i="30" s="1"/>
  <c r="M227" i="30" s="1"/>
  <c r="N227" i="30" s="1"/>
  <c r="O227" i="30" s="1"/>
  <c r="P227" i="30" s="1"/>
  <c r="D227" i="30"/>
  <c r="B227" i="30"/>
  <c r="D226" i="30"/>
  <c r="D232" i="30" s="1"/>
  <c r="B226" i="30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B224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C108" i="30"/>
  <c r="B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AI100" i="30"/>
  <c r="AH100" i="30"/>
  <c r="AI99" i="30"/>
  <c r="AH99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88" i="30"/>
  <c r="AH88" i="30"/>
  <c r="AI86" i="30"/>
  <c r="AH86" i="30"/>
  <c r="AG86" i="30"/>
  <c r="AI85" i="30"/>
  <c r="AH85" i="30"/>
  <c r="AI84" i="30"/>
  <c r="AH84" i="30"/>
  <c r="AI83" i="30"/>
  <c r="AH83" i="30"/>
  <c r="AN82" i="30"/>
  <c r="AG82" i="30"/>
  <c r="AF82" i="30"/>
  <c r="AF98" i="30" s="1"/>
  <c r="AE82" i="30"/>
  <c r="AE98" i="30" s="1"/>
  <c r="AD82" i="30"/>
  <c r="AD98" i="30" s="1"/>
  <c r="AC82" i="30"/>
  <c r="AC98" i="30" s="1"/>
  <c r="AB82" i="30"/>
  <c r="AB98" i="30" s="1"/>
  <c r="AA82" i="30"/>
  <c r="AA98" i="30" s="1"/>
  <c r="Z82" i="30"/>
  <c r="Z98" i="30" s="1"/>
  <c r="Y82" i="30"/>
  <c r="Y98" i="30" s="1"/>
  <c r="X82" i="30"/>
  <c r="X98" i="30" s="1"/>
  <c r="W82" i="30"/>
  <c r="W98" i="30" s="1"/>
  <c r="V82" i="30"/>
  <c r="V98" i="30" s="1"/>
  <c r="U82" i="30"/>
  <c r="U98" i="30" s="1"/>
  <c r="T82" i="30"/>
  <c r="T98" i="30" s="1"/>
  <c r="S82" i="30"/>
  <c r="S98" i="30" s="1"/>
  <c r="R82" i="30"/>
  <c r="R98" i="30" s="1"/>
  <c r="Q82" i="30"/>
  <c r="Q98" i="30" s="1"/>
  <c r="P82" i="30"/>
  <c r="P98" i="30" s="1"/>
  <c r="O82" i="30"/>
  <c r="O98" i="30" s="1"/>
  <c r="N82" i="30"/>
  <c r="N98" i="30" s="1"/>
  <c r="M82" i="30"/>
  <c r="M98" i="30" s="1"/>
  <c r="L82" i="30"/>
  <c r="L98" i="30" s="1"/>
  <c r="K82" i="30"/>
  <c r="K98" i="30" s="1"/>
  <c r="J82" i="30"/>
  <c r="J98" i="30" s="1"/>
  <c r="I82" i="30"/>
  <c r="I98" i="30" s="1"/>
  <c r="H82" i="30"/>
  <c r="H98" i="30" s="1"/>
  <c r="G82" i="30"/>
  <c r="G98" i="30" s="1"/>
  <c r="F82" i="30"/>
  <c r="F98" i="30" s="1"/>
  <c r="E82" i="30"/>
  <c r="E98" i="30" s="1"/>
  <c r="D82" i="30"/>
  <c r="D98" i="30" s="1"/>
  <c r="C82" i="30"/>
  <c r="C98" i="30" s="1"/>
  <c r="B82" i="30"/>
  <c r="B98" i="30" s="1"/>
  <c r="AI81" i="30"/>
  <c r="AH81" i="30"/>
  <c r="AN80" i="30"/>
  <c r="AI80" i="30"/>
  <c r="AH80" i="30"/>
  <c r="AN79" i="30"/>
  <c r="AN81" i="30" s="1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I72" i="30"/>
  <c r="AH72" i="30"/>
  <c r="AI71" i="30"/>
  <c r="AH71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B70" i="30"/>
  <c r="AI69" i="30"/>
  <c r="AH69" i="30"/>
  <c r="AI68" i="30"/>
  <c r="AH68" i="30"/>
  <c r="AI67" i="30"/>
  <c r="AH67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AI65" i="30"/>
  <c r="AH65" i="30"/>
  <c r="AG65" i="30"/>
  <c r="AG66" i="30" s="1"/>
  <c r="AG3" i="30" s="1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AI51" i="30"/>
  <c r="AH51" i="30"/>
  <c r="AI50" i="30"/>
  <c r="AH50" i="30"/>
  <c r="AI49" i="30"/>
  <c r="AH49" i="30"/>
  <c r="AG48" i="30"/>
  <c r="AG87" i="30" s="1"/>
  <c r="AF48" i="30"/>
  <c r="AE48" i="30"/>
  <c r="AD48" i="30"/>
  <c r="AC48" i="30"/>
  <c r="AB48" i="30"/>
  <c r="AA48" i="30"/>
  <c r="Z48" i="30"/>
  <c r="Y48" i="30"/>
  <c r="X48" i="30"/>
  <c r="W48" i="30"/>
  <c r="V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X5" i="30"/>
  <c r="AG4" i="30"/>
  <c r="K4" i="30"/>
  <c r="E4" i="30"/>
  <c r="H4" i="30" s="1"/>
  <c r="B4" i="30"/>
  <c r="S243" i="30" s="1"/>
  <c r="B232" i="30" l="1"/>
  <c r="E231" i="30"/>
  <c r="AG2" i="30"/>
  <c r="D108" i="30"/>
  <c r="AE5" i="30"/>
  <c r="AF87" i="30"/>
  <c r="AF89" i="30" s="1"/>
  <c r="AF7" i="30" s="1"/>
  <c r="AD5" i="30"/>
  <c r="AE87" i="30"/>
  <c r="AE89" i="30" s="1"/>
  <c r="AE7" i="30" s="1"/>
  <c r="AC5" i="30"/>
  <c r="AD87" i="30"/>
  <c r="AD89" i="30" s="1"/>
  <c r="AV246" i="30" s="1"/>
  <c r="AB5" i="30"/>
  <c r="AC87" i="30"/>
  <c r="AC89" i="30" s="1"/>
  <c r="AC7" i="30" s="1"/>
  <c r="AA5" i="30"/>
  <c r="AB87" i="30"/>
  <c r="AB89" i="30" s="1"/>
  <c r="AB90" i="30" s="1"/>
  <c r="Z5" i="30"/>
  <c r="AA87" i="30"/>
  <c r="AA89" i="30" s="1"/>
  <c r="AS246" i="30" s="1"/>
  <c r="Y5" i="30"/>
  <c r="Z87" i="30"/>
  <c r="Z89" i="30" s="1"/>
  <c r="Z7" i="30" s="1"/>
  <c r="Y87" i="30"/>
  <c r="Y89" i="30" s="1"/>
  <c r="W5" i="30"/>
  <c r="X87" i="30"/>
  <c r="X89" i="30" s="1"/>
  <c r="X7" i="30" s="1"/>
  <c r="V5" i="30"/>
  <c r="W87" i="30"/>
  <c r="W89" i="30" s="1"/>
  <c r="W7" i="30" s="1"/>
  <c r="U5" i="30"/>
  <c r="V87" i="30"/>
  <c r="V89" i="30" s="1"/>
  <c r="T5" i="30"/>
  <c r="U87" i="30"/>
  <c r="U89" i="30" s="1"/>
  <c r="S5" i="30"/>
  <c r="T87" i="30"/>
  <c r="T89" i="30" s="1"/>
  <c r="AL246" i="30" s="1"/>
  <c r="R5" i="30"/>
  <c r="S87" i="30"/>
  <c r="S89" i="30" s="1"/>
  <c r="S90" i="30" s="1"/>
  <c r="Q5" i="30"/>
  <c r="R87" i="30"/>
  <c r="R89" i="30" s="1"/>
  <c r="P5" i="30"/>
  <c r="Q87" i="30"/>
  <c r="Q89" i="30" s="1"/>
  <c r="O5" i="30"/>
  <c r="P87" i="30"/>
  <c r="P89" i="30" s="1"/>
  <c r="P90" i="30" s="1"/>
  <c r="N5" i="30"/>
  <c r="O87" i="30"/>
  <c r="O89" i="30" s="1"/>
  <c r="AG246" i="30" s="1"/>
  <c r="M5" i="30"/>
  <c r="N87" i="30"/>
  <c r="N89" i="30" s="1"/>
  <c r="N90" i="30" s="1"/>
  <c r="L5" i="30"/>
  <c r="M87" i="30"/>
  <c r="M89" i="30" s="1"/>
  <c r="K5" i="30"/>
  <c r="AI70" i="30"/>
  <c r="L87" i="30"/>
  <c r="L89" i="30" s="1"/>
  <c r="L90" i="30" s="1"/>
  <c r="J87" i="30"/>
  <c r="J89" i="30" s="1"/>
  <c r="J7" i="30" s="1"/>
  <c r="I5" i="30"/>
  <c r="J5" i="30"/>
  <c r="K87" i="30"/>
  <c r="K89" i="30" s="1"/>
  <c r="K90" i="30" s="1"/>
  <c r="H5" i="30"/>
  <c r="I87" i="30"/>
  <c r="I89" i="30" s="1"/>
  <c r="I7" i="30" s="1"/>
  <c r="G5" i="30"/>
  <c r="H87" i="30"/>
  <c r="H89" i="30" s="1"/>
  <c r="H90" i="30" s="1"/>
  <c r="F5" i="30"/>
  <c r="G87" i="30"/>
  <c r="G89" i="30" s="1"/>
  <c r="Y246" i="30" s="1"/>
  <c r="E5" i="30"/>
  <c r="F87" i="30"/>
  <c r="F89" i="30" s="1"/>
  <c r="F7" i="30" s="1"/>
  <c r="D5" i="30"/>
  <c r="E87" i="30"/>
  <c r="E89" i="30" s="1"/>
  <c r="E90" i="30" s="1"/>
  <c r="C5" i="30"/>
  <c r="D87" i="30"/>
  <c r="D89" i="30" s="1"/>
  <c r="V246" i="30" s="1"/>
  <c r="B5" i="30"/>
  <c r="AI66" i="30"/>
  <c r="AI52" i="30"/>
  <c r="C87" i="30"/>
  <c r="C89" i="30" s="1"/>
  <c r="U246" i="30" s="1"/>
  <c r="AF5" i="30"/>
  <c r="B87" i="30"/>
  <c r="B89" i="30" s="1"/>
  <c r="AH246" i="30"/>
  <c r="R90" i="30"/>
  <c r="R7" i="30"/>
  <c r="AJ246" i="30"/>
  <c r="AR246" i="30"/>
  <c r="Q90" i="30"/>
  <c r="Q7" i="30"/>
  <c r="AI246" i="30"/>
  <c r="AK246" i="30"/>
  <c r="AA90" i="30"/>
  <c r="AA7" i="30"/>
  <c r="J229" i="30"/>
  <c r="K229" i="30" s="1"/>
  <c r="L229" i="30" s="1"/>
  <c r="M229" i="30" s="1"/>
  <c r="N229" i="30" s="1"/>
  <c r="O229" i="30" s="1"/>
  <c r="P229" i="30" s="1"/>
  <c r="AI98" i="30"/>
  <c r="AH98" i="30"/>
  <c r="AD246" i="30"/>
  <c r="O90" i="30"/>
  <c r="O7" i="30"/>
  <c r="Y90" i="30"/>
  <c r="Y7" i="30"/>
  <c r="AQ246" i="30"/>
  <c r="AG6" i="30"/>
  <c r="M7" i="30"/>
  <c r="AE246" i="30"/>
  <c r="M90" i="30"/>
  <c r="U7" i="30"/>
  <c r="AM246" i="30"/>
  <c r="U90" i="30"/>
  <c r="AC90" i="30"/>
  <c r="AF246" i="30"/>
  <c r="V7" i="30"/>
  <c r="AN246" i="30"/>
  <c r="V90" i="30"/>
  <c r="AD90" i="30"/>
  <c r="AG89" i="30"/>
  <c r="AH70" i="30"/>
  <c r="D243" i="30"/>
  <c r="AH66" i="30"/>
  <c r="AH82" i="30"/>
  <c r="E226" i="30"/>
  <c r="AH48" i="30"/>
  <c r="AH52" i="30"/>
  <c r="AI82" i="30"/>
  <c r="AI48" i="30"/>
  <c r="X90" i="30" l="1"/>
  <c r="T7" i="30"/>
  <c r="L7" i="30"/>
  <c r="T90" i="30"/>
  <c r="AF90" i="30"/>
  <c r="AB7" i="30"/>
  <c r="D267" i="30"/>
  <c r="F231" i="30"/>
  <c r="AP246" i="30"/>
  <c r="AX246" i="30"/>
  <c r="AE90" i="30"/>
  <c r="AW246" i="30"/>
  <c r="AD7" i="30"/>
  <c r="AU246" i="30"/>
  <c r="AT246" i="30"/>
  <c r="Z90" i="30"/>
  <c r="W90" i="30"/>
  <c r="AO246" i="30"/>
  <c r="S7" i="30"/>
  <c r="P7" i="30"/>
  <c r="N7" i="30"/>
  <c r="E7" i="30"/>
  <c r="I90" i="30"/>
  <c r="AC246" i="30"/>
  <c r="C90" i="30"/>
  <c r="J90" i="30"/>
  <c r="AB246" i="30"/>
  <c r="K7" i="30"/>
  <c r="H7" i="30"/>
  <c r="Z246" i="30"/>
  <c r="G90" i="30"/>
  <c r="G7" i="30"/>
  <c r="D7" i="30"/>
  <c r="AA246" i="30"/>
  <c r="B241" i="30"/>
  <c r="C241" i="30"/>
  <c r="K6" i="30" s="1"/>
  <c r="F90" i="30"/>
  <c r="X246" i="30"/>
  <c r="W246" i="30"/>
  <c r="AI87" i="30"/>
  <c r="D90" i="30"/>
  <c r="C7" i="30"/>
  <c r="AH87" i="30"/>
  <c r="B90" i="30"/>
  <c r="AI89" i="30"/>
  <c r="AH89" i="30"/>
  <c r="B7" i="30"/>
  <c r="T246" i="30"/>
  <c r="F226" i="30"/>
  <c r="E108" i="30"/>
  <c r="E232" i="30"/>
  <c r="E267" i="30" l="1"/>
  <c r="G231" i="30"/>
  <c r="A7" i="30"/>
  <c r="G226" i="30"/>
  <c r="F108" i="30"/>
  <c r="F232" i="30"/>
  <c r="AI90" i="30"/>
  <c r="AH90" i="30"/>
  <c r="H231" i="30" l="1"/>
  <c r="F267" i="30"/>
  <c r="H226" i="30"/>
  <c r="G108" i="30"/>
  <c r="G232" i="30"/>
  <c r="I231" i="30" l="1"/>
  <c r="G267" i="30"/>
  <c r="I226" i="30"/>
  <c r="H108" i="30"/>
  <c r="H232" i="30"/>
  <c r="H267" i="30" l="1"/>
  <c r="J231" i="30"/>
  <c r="I108" i="30"/>
  <c r="J226" i="30"/>
  <c r="I267" i="30" l="1"/>
  <c r="K231" i="30"/>
  <c r="J108" i="30"/>
  <c r="K226" i="30"/>
  <c r="J267" i="30" l="1"/>
  <c r="L231" i="30"/>
  <c r="L226" i="30"/>
  <c r="K108" i="30"/>
  <c r="K267" i="30" l="1"/>
  <c r="M231" i="30"/>
  <c r="M226" i="30"/>
  <c r="L108" i="30"/>
  <c r="L267" i="30" l="1"/>
  <c r="N231" i="30"/>
  <c r="N226" i="30"/>
  <c r="M108" i="30"/>
  <c r="M267" i="30" l="1"/>
  <c r="O231" i="30"/>
  <c r="O226" i="30"/>
  <c r="N108" i="30"/>
  <c r="N267" i="30" l="1"/>
  <c r="P231" i="30"/>
  <c r="O267" i="30" s="1"/>
  <c r="P226" i="30"/>
  <c r="O108" i="30"/>
  <c r="AH108" i="30" l="1"/>
  <c r="AI108" i="30"/>
  <c r="R70" i="29" l="1"/>
  <c r="R111" i="29"/>
  <c r="R48" i="29"/>
  <c r="R52" i="29"/>
  <c r="R66" i="29"/>
  <c r="R82" i="29"/>
  <c r="R98" i="29" s="1"/>
  <c r="R108" i="29"/>
  <c r="Q111" i="29"/>
  <c r="R87" i="29" l="1"/>
  <c r="R89" i="29" s="1"/>
  <c r="R90" i="29" s="1"/>
  <c r="P48" i="29" l="1"/>
  <c r="Q48" i="29"/>
  <c r="P52" i="29"/>
  <c r="Q52" i="29"/>
  <c r="P66" i="29"/>
  <c r="Q66" i="29"/>
  <c r="P70" i="29"/>
  <c r="Q70" i="29"/>
  <c r="P82" i="29"/>
  <c r="Q82" i="29"/>
  <c r="Q98" i="29" s="1"/>
  <c r="P98" i="29"/>
  <c r="Q108" i="29"/>
  <c r="P111" i="29"/>
  <c r="O111" i="29"/>
  <c r="O48" i="29"/>
  <c r="N48" i="29"/>
  <c r="N52" i="29"/>
  <c r="N66" i="29"/>
  <c r="N70" i="29"/>
  <c r="N82" i="29"/>
  <c r="N111" i="29"/>
  <c r="M111" i="29"/>
  <c r="I109" i="29"/>
  <c r="AI109" i="29" s="1"/>
  <c r="B82" i="29"/>
  <c r="B98" i="29" s="1"/>
  <c r="B70" i="29"/>
  <c r="B66" i="29"/>
  <c r="B52" i="29"/>
  <c r="B48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271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270" i="29"/>
  <c r="AF269" i="29"/>
  <c r="AE269" i="29"/>
  <c r="AD269" i="29"/>
  <c r="AC269" i="29"/>
  <c r="AB269" i="29"/>
  <c r="AA269" i="29"/>
  <c r="Z269" i="29"/>
  <c r="Y269" i="29"/>
  <c r="X269" i="29"/>
  <c r="W269" i="29"/>
  <c r="V269" i="29"/>
  <c r="U269" i="29"/>
  <c r="T269" i="29"/>
  <c r="S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A269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A268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B267" i="29"/>
  <c r="S242" i="29"/>
  <c r="AG232" i="29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C232" i="29"/>
  <c r="D231" i="29"/>
  <c r="E231" i="29" s="1"/>
  <c r="B231" i="29"/>
  <c r="AF267" i="29" s="1"/>
  <c r="D230" i="29"/>
  <c r="E230" i="29" s="1"/>
  <c r="F230" i="29" s="1"/>
  <c r="G230" i="29" s="1"/>
  <c r="H230" i="29" s="1"/>
  <c r="I230" i="29" s="1"/>
  <c r="J230" i="29" s="1"/>
  <c r="K230" i="29" s="1"/>
  <c r="L230" i="29" s="1"/>
  <c r="M230" i="29" s="1"/>
  <c r="N230" i="29" s="1"/>
  <c r="O230" i="29" s="1"/>
  <c r="P230" i="29" s="1"/>
  <c r="B230" i="29"/>
  <c r="D229" i="29"/>
  <c r="E229" i="29" s="1"/>
  <c r="F229" i="29" s="1"/>
  <c r="G229" i="29" s="1"/>
  <c r="H229" i="29" s="1"/>
  <c r="I229" i="29" s="1"/>
  <c r="B229" i="29"/>
  <c r="E228" i="29"/>
  <c r="F228" i="29" s="1"/>
  <c r="G228" i="29" s="1"/>
  <c r="H228" i="29" s="1"/>
  <c r="D228" i="29"/>
  <c r="B228" i="29"/>
  <c r="D227" i="29"/>
  <c r="E227" i="29" s="1"/>
  <c r="F227" i="29" s="1"/>
  <c r="G227" i="29" s="1"/>
  <c r="H227" i="29" s="1"/>
  <c r="I227" i="29" s="1"/>
  <c r="J227" i="29" s="1"/>
  <c r="K227" i="29" s="1"/>
  <c r="L227" i="29" s="1"/>
  <c r="M227" i="29" s="1"/>
  <c r="N227" i="29" s="1"/>
  <c r="O227" i="29" s="1"/>
  <c r="P227" i="29" s="1"/>
  <c r="B227" i="29"/>
  <c r="E226" i="29"/>
  <c r="F226" i="29" s="1"/>
  <c r="D226" i="29"/>
  <c r="D232" i="29" s="1"/>
  <c r="B226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0" i="29"/>
  <c r="AH110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C108" i="29"/>
  <c r="AI107" i="29"/>
  <c r="AH107" i="29"/>
  <c r="AI106" i="29"/>
  <c r="AH106" i="29"/>
  <c r="AI105" i="29"/>
  <c r="AH105" i="29"/>
  <c r="AI104" i="29"/>
  <c r="AH104" i="29"/>
  <c r="AI103" i="29"/>
  <c r="AH103" i="29"/>
  <c r="AI102" i="29"/>
  <c r="AH102" i="29"/>
  <c r="AI101" i="29"/>
  <c r="AH101" i="29"/>
  <c r="AI100" i="29"/>
  <c r="AH100" i="29"/>
  <c r="AI99" i="29"/>
  <c r="AH99" i="29"/>
  <c r="AI97" i="29"/>
  <c r="AH97" i="29"/>
  <c r="AI96" i="29"/>
  <c r="AH96" i="29"/>
  <c r="AI95" i="29"/>
  <c r="AH95" i="29"/>
  <c r="AI94" i="29"/>
  <c r="AH94" i="29"/>
  <c r="AI93" i="29"/>
  <c r="AH93" i="29"/>
  <c r="AI92" i="29"/>
  <c r="AH92" i="29"/>
  <c r="AI91" i="29"/>
  <c r="AH91" i="29"/>
  <c r="AI88" i="29"/>
  <c r="AH88" i="29"/>
  <c r="AI86" i="29"/>
  <c r="AH86" i="29"/>
  <c r="AG86" i="29"/>
  <c r="AI85" i="29"/>
  <c r="AH85" i="29"/>
  <c r="AI84" i="29"/>
  <c r="AH84" i="29"/>
  <c r="AI83" i="29"/>
  <c r="AH83" i="29"/>
  <c r="AN82" i="29"/>
  <c r="AG82" i="29"/>
  <c r="AF82" i="29"/>
  <c r="AF98" i="29" s="1"/>
  <c r="AE82" i="29"/>
  <c r="AE98" i="29" s="1"/>
  <c r="AD82" i="29"/>
  <c r="AD98" i="29" s="1"/>
  <c r="AC82" i="29"/>
  <c r="AC98" i="29" s="1"/>
  <c r="AB82" i="29"/>
  <c r="AB98" i="29" s="1"/>
  <c r="AA82" i="29"/>
  <c r="AA98" i="29" s="1"/>
  <c r="Z82" i="29"/>
  <c r="Z98" i="29" s="1"/>
  <c r="Y82" i="29"/>
  <c r="Y98" i="29" s="1"/>
  <c r="X82" i="29"/>
  <c r="X98" i="29" s="1"/>
  <c r="W82" i="29"/>
  <c r="W98" i="29" s="1"/>
  <c r="V82" i="29"/>
  <c r="V98" i="29" s="1"/>
  <c r="U82" i="29"/>
  <c r="U98" i="29" s="1"/>
  <c r="T82" i="29"/>
  <c r="T98" i="29" s="1"/>
  <c r="S82" i="29"/>
  <c r="S98" i="29" s="1"/>
  <c r="O82" i="29"/>
  <c r="O98" i="29" s="1"/>
  <c r="M82" i="29"/>
  <c r="M98" i="29" s="1"/>
  <c r="L82" i="29"/>
  <c r="L98" i="29" s="1"/>
  <c r="K82" i="29"/>
  <c r="K98" i="29" s="1"/>
  <c r="J82" i="29"/>
  <c r="J98" i="29" s="1"/>
  <c r="I82" i="29"/>
  <c r="I98" i="29" s="1"/>
  <c r="H82" i="29"/>
  <c r="H98" i="29" s="1"/>
  <c r="G82" i="29"/>
  <c r="G98" i="29" s="1"/>
  <c r="F82" i="29"/>
  <c r="F98" i="29" s="1"/>
  <c r="E82" i="29"/>
  <c r="E98" i="29" s="1"/>
  <c r="D82" i="29"/>
  <c r="D98" i="29" s="1"/>
  <c r="C82" i="29"/>
  <c r="C98" i="29" s="1"/>
  <c r="AI81" i="29"/>
  <c r="AH81" i="29"/>
  <c r="AN80" i="29"/>
  <c r="AI80" i="29"/>
  <c r="AH80" i="29"/>
  <c r="AN79" i="29"/>
  <c r="AN81" i="29" s="1"/>
  <c r="AI79" i="29"/>
  <c r="AH79" i="29"/>
  <c r="AI78" i="29"/>
  <c r="AH78" i="29"/>
  <c r="AI77" i="29"/>
  <c r="AH77" i="29"/>
  <c r="AI76" i="29"/>
  <c r="AH76" i="29"/>
  <c r="AI75" i="29"/>
  <c r="AH75" i="29"/>
  <c r="AI74" i="29"/>
  <c r="AH74" i="29"/>
  <c r="AI73" i="29"/>
  <c r="AH73" i="29"/>
  <c r="AI72" i="29"/>
  <c r="AH72" i="29"/>
  <c r="AI71" i="29"/>
  <c r="AH71" i="29"/>
  <c r="AG70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O70" i="29"/>
  <c r="M70" i="29"/>
  <c r="L70" i="29"/>
  <c r="AI69" i="29"/>
  <c r="AH69" i="29"/>
  <c r="AI68" i="29"/>
  <c r="AH68" i="29"/>
  <c r="AI67" i="29"/>
  <c r="AH67" i="29"/>
  <c r="AF66" i="29"/>
  <c r="AE66" i="29"/>
  <c r="AD66" i="29"/>
  <c r="AC66" i="29"/>
  <c r="AB66" i="29"/>
  <c r="AA66" i="29"/>
  <c r="Z66" i="29"/>
  <c r="Y66" i="29"/>
  <c r="X66" i="29"/>
  <c r="W66" i="29"/>
  <c r="V66" i="29"/>
  <c r="U66" i="29"/>
  <c r="T66" i="29"/>
  <c r="S66" i="29"/>
  <c r="O66" i="29"/>
  <c r="M66" i="29"/>
  <c r="L66" i="29"/>
  <c r="K66" i="29"/>
  <c r="J66" i="29"/>
  <c r="I66" i="29"/>
  <c r="H66" i="29"/>
  <c r="G66" i="29"/>
  <c r="F66" i="29"/>
  <c r="E66" i="29"/>
  <c r="D66" i="29"/>
  <c r="C66" i="29"/>
  <c r="AI65" i="29"/>
  <c r="AH65" i="29"/>
  <c r="AG65" i="29"/>
  <c r="AG66" i="29" s="1"/>
  <c r="AG3" i="29" s="1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O52" i="29"/>
  <c r="M52" i="29"/>
  <c r="L52" i="29"/>
  <c r="K52" i="29"/>
  <c r="J52" i="29"/>
  <c r="I52" i="29"/>
  <c r="H52" i="29"/>
  <c r="G52" i="29"/>
  <c r="F52" i="29"/>
  <c r="E52" i="29"/>
  <c r="D52" i="29"/>
  <c r="C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T87" i="29" s="1"/>
  <c r="T89" i="29" s="1"/>
  <c r="S48" i="29"/>
  <c r="M48" i="29"/>
  <c r="L48" i="29"/>
  <c r="K48" i="29"/>
  <c r="J48" i="29"/>
  <c r="I48" i="29"/>
  <c r="H48" i="29"/>
  <c r="G48" i="29"/>
  <c r="F48" i="29"/>
  <c r="E48" i="29"/>
  <c r="D48" i="29"/>
  <c r="C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Q5" i="29"/>
  <c r="P5" i="29"/>
  <c r="O5" i="29"/>
  <c r="M5" i="29"/>
  <c r="AG4" i="29"/>
  <c r="K4" i="29"/>
  <c r="E4" i="29"/>
  <c r="H4" i="29" s="1"/>
  <c r="B4" i="29"/>
  <c r="S243" i="29" s="1"/>
  <c r="AG2" i="29"/>
  <c r="AG6" i="29" s="1"/>
  <c r="AA111" i="28"/>
  <c r="Y108" i="28"/>
  <c r="Y98" i="28"/>
  <c r="X98" i="28"/>
  <c r="Y87" i="28"/>
  <c r="Y89" i="28" s="1"/>
  <c r="Z82" i="28"/>
  <c r="Y82" i="28"/>
  <c r="X82" i="28"/>
  <c r="Z70" i="28"/>
  <c r="Y70" i="28"/>
  <c r="X70" i="28"/>
  <c r="Z52" i="28"/>
  <c r="Y52" i="28"/>
  <c r="X52" i="28"/>
  <c r="Z48" i="28"/>
  <c r="Y48" i="28"/>
  <c r="X48" i="28"/>
  <c r="Z111" i="28"/>
  <c r="Z108" i="28" s="1"/>
  <c r="W111" i="28"/>
  <c r="X111" i="28"/>
  <c r="X108" i="28" s="1"/>
  <c r="V111" i="28"/>
  <c r="V48" i="28"/>
  <c r="V52" i="28"/>
  <c r="V66" i="28"/>
  <c r="V70" i="28"/>
  <c r="V82" i="28"/>
  <c r="V98" i="28" s="1"/>
  <c r="V108" i="28"/>
  <c r="U52" i="28"/>
  <c r="U66" i="28"/>
  <c r="U70" i="28"/>
  <c r="U82" i="28"/>
  <c r="U98" i="28" s="1"/>
  <c r="U108" i="28"/>
  <c r="Z87" i="28" l="1"/>
  <c r="Z89" i="28" s="1"/>
  <c r="AI70" i="29"/>
  <c r="AH111" i="29"/>
  <c r="AI111" i="29"/>
  <c r="C267" i="29"/>
  <c r="AH109" i="29"/>
  <c r="N87" i="29"/>
  <c r="N89" i="29" s="1"/>
  <c r="N90" i="29" s="1"/>
  <c r="B232" i="29"/>
  <c r="D108" i="29"/>
  <c r="B108" i="29"/>
  <c r="AE5" i="29"/>
  <c r="AF87" i="29"/>
  <c r="AF89" i="29" s="1"/>
  <c r="AF90" i="29" s="1"/>
  <c r="AD5" i="29"/>
  <c r="AE87" i="29"/>
  <c r="AE89" i="29" s="1"/>
  <c r="AD87" i="29"/>
  <c r="AD89" i="29" s="1"/>
  <c r="AV246" i="29" s="1"/>
  <c r="AC5" i="29"/>
  <c r="AB5" i="29"/>
  <c r="AC87" i="29"/>
  <c r="AC89" i="29" s="1"/>
  <c r="AC7" i="29" s="1"/>
  <c r="AA5" i="29"/>
  <c r="AB87" i="29"/>
  <c r="AB89" i="29" s="1"/>
  <c r="AB7" i="29" s="1"/>
  <c r="Z5" i="29"/>
  <c r="AA87" i="29"/>
  <c r="AA89" i="29" s="1"/>
  <c r="Y5" i="29"/>
  <c r="Z87" i="29"/>
  <c r="Z89" i="29" s="1"/>
  <c r="X5" i="29"/>
  <c r="Y87" i="29"/>
  <c r="Y89" i="29" s="1"/>
  <c r="Y90" i="29" s="1"/>
  <c r="W5" i="29"/>
  <c r="X87" i="29"/>
  <c r="X89" i="29" s="1"/>
  <c r="AP246" i="29" s="1"/>
  <c r="V5" i="29"/>
  <c r="W87" i="29"/>
  <c r="W89" i="29" s="1"/>
  <c r="AO246" i="29" s="1"/>
  <c r="T5" i="29"/>
  <c r="U5" i="29"/>
  <c r="V87" i="29"/>
  <c r="V89" i="29" s="1"/>
  <c r="AN246" i="29" s="1"/>
  <c r="U87" i="29"/>
  <c r="U89" i="29" s="1"/>
  <c r="U7" i="29" s="1"/>
  <c r="S5" i="29"/>
  <c r="R5" i="29"/>
  <c r="S87" i="29"/>
  <c r="S89" i="29" s="1"/>
  <c r="S90" i="29" s="1"/>
  <c r="P87" i="29"/>
  <c r="P89" i="29" s="1"/>
  <c r="P90" i="29" s="1"/>
  <c r="Q87" i="29"/>
  <c r="Q89" i="29" s="1"/>
  <c r="Q90" i="29" s="1"/>
  <c r="N5" i="29"/>
  <c r="O87" i="29"/>
  <c r="O89" i="29" s="1"/>
  <c r="N98" i="29"/>
  <c r="L5" i="29"/>
  <c r="M87" i="29"/>
  <c r="M89" i="29" s="1"/>
  <c r="M7" i="29" s="1"/>
  <c r="K5" i="29"/>
  <c r="L87" i="29"/>
  <c r="L89" i="29" s="1"/>
  <c r="L90" i="29" s="1"/>
  <c r="J5" i="29"/>
  <c r="I5" i="29"/>
  <c r="K87" i="29"/>
  <c r="K89" i="29" s="1"/>
  <c r="AC246" i="29" s="1"/>
  <c r="H5" i="29"/>
  <c r="J87" i="29"/>
  <c r="J89" i="29" s="1"/>
  <c r="J7" i="29" s="1"/>
  <c r="I87" i="29"/>
  <c r="I89" i="29" s="1"/>
  <c r="AA246" i="29" s="1"/>
  <c r="G5" i="29"/>
  <c r="H87" i="29"/>
  <c r="H89" i="29" s="1"/>
  <c r="H90" i="29" s="1"/>
  <c r="AI52" i="29"/>
  <c r="F5" i="29"/>
  <c r="G87" i="29"/>
  <c r="G89" i="29" s="1"/>
  <c r="Y246" i="29" s="1"/>
  <c r="E5" i="29"/>
  <c r="F87" i="29"/>
  <c r="F89" i="29" s="1"/>
  <c r="F90" i="29" s="1"/>
  <c r="D5" i="29"/>
  <c r="E87" i="29"/>
  <c r="E89" i="29" s="1"/>
  <c r="E7" i="29" s="1"/>
  <c r="C5" i="29"/>
  <c r="AI66" i="29"/>
  <c r="D87" i="29"/>
  <c r="D89" i="29" s="1"/>
  <c r="D90" i="29" s="1"/>
  <c r="B5" i="29"/>
  <c r="C87" i="29"/>
  <c r="C89" i="29" s="1"/>
  <c r="C7" i="29" s="1"/>
  <c r="AH66" i="29"/>
  <c r="B87" i="29"/>
  <c r="B89" i="29" s="1"/>
  <c r="B90" i="29" s="1"/>
  <c r="AF5" i="29"/>
  <c r="AH70" i="29"/>
  <c r="D267" i="29"/>
  <c r="F231" i="29"/>
  <c r="E108" i="29"/>
  <c r="P7" i="29"/>
  <c r="AH246" i="29"/>
  <c r="Q7" i="29"/>
  <c r="AI246" i="29"/>
  <c r="AG87" i="29"/>
  <c r="AG246" i="29"/>
  <c r="O90" i="29"/>
  <c r="O7" i="29"/>
  <c r="X7" i="29"/>
  <c r="I90" i="29"/>
  <c r="R7" i="29"/>
  <c r="AJ246" i="29"/>
  <c r="Z90" i="29"/>
  <c r="Z7" i="29"/>
  <c r="AR246" i="29"/>
  <c r="AW246" i="29"/>
  <c r="AE90" i="29"/>
  <c r="AE7" i="29"/>
  <c r="AA90" i="29"/>
  <c r="AA7" i="29"/>
  <c r="AS246" i="29"/>
  <c r="AI98" i="29"/>
  <c r="AH98" i="29"/>
  <c r="T90" i="29"/>
  <c r="T7" i="29"/>
  <c r="AL246" i="29"/>
  <c r="J229" i="29"/>
  <c r="K229" i="29" s="1"/>
  <c r="L229" i="29" s="1"/>
  <c r="M229" i="29" s="1"/>
  <c r="N229" i="29" s="1"/>
  <c r="O229" i="29" s="1"/>
  <c r="P229" i="29" s="1"/>
  <c r="G226" i="29"/>
  <c r="F108" i="29"/>
  <c r="F232" i="29"/>
  <c r="G90" i="29"/>
  <c r="G7" i="29"/>
  <c r="AF246" i="29"/>
  <c r="N7" i="29"/>
  <c r="V7" i="29"/>
  <c r="AD90" i="29"/>
  <c r="AG89" i="29"/>
  <c r="E232" i="29"/>
  <c r="D243" i="29"/>
  <c r="AH82" i="29"/>
  <c r="AH48" i="29"/>
  <c r="AH52" i="29"/>
  <c r="AI82" i="29"/>
  <c r="AI48" i="29"/>
  <c r="Z98" i="28"/>
  <c r="V87" i="28"/>
  <c r="V89" i="28" s="1"/>
  <c r="V90" i="28" s="1"/>
  <c r="AQ246" i="29" l="1"/>
  <c r="AX246" i="29"/>
  <c r="I7" i="29"/>
  <c r="AF7" i="29"/>
  <c r="AU246" i="29"/>
  <c r="AC90" i="29"/>
  <c r="AB90" i="29"/>
  <c r="AT246" i="29"/>
  <c r="AD7" i="29"/>
  <c r="Y7" i="29"/>
  <c r="X90" i="29"/>
  <c r="W7" i="29"/>
  <c r="W90" i="29"/>
  <c r="V90" i="29"/>
  <c r="U90" i="29"/>
  <c r="AM246" i="29"/>
  <c r="AK246" i="29"/>
  <c r="S7" i="29"/>
  <c r="M90" i="29"/>
  <c r="AE246" i="29"/>
  <c r="AD246" i="29"/>
  <c r="L7" i="29"/>
  <c r="K7" i="29"/>
  <c r="K90" i="29"/>
  <c r="J90" i="29"/>
  <c r="AB246" i="29"/>
  <c r="B241" i="29"/>
  <c r="C241" i="29"/>
  <c r="Z246" i="29"/>
  <c r="H7" i="29"/>
  <c r="F7" i="29"/>
  <c r="X246" i="29"/>
  <c r="E90" i="29"/>
  <c r="W246" i="29"/>
  <c r="V246" i="29"/>
  <c r="D7" i="29"/>
  <c r="AI87" i="29"/>
  <c r="C90" i="29"/>
  <c r="U246" i="29"/>
  <c r="AH87" i="29"/>
  <c r="H226" i="29"/>
  <c r="E267" i="29"/>
  <c r="G231" i="29"/>
  <c r="AI89" i="29"/>
  <c r="AH89" i="29"/>
  <c r="B7" i="29"/>
  <c r="T246" i="29"/>
  <c r="A7" i="29" l="1"/>
  <c r="K6" i="29"/>
  <c r="AI90" i="29"/>
  <c r="AH90" i="29"/>
  <c r="F267" i="29"/>
  <c r="H231" i="29"/>
  <c r="G232" i="29"/>
  <c r="I226" i="29"/>
  <c r="H108" i="29"/>
  <c r="H232" i="29"/>
  <c r="G108" i="29"/>
  <c r="G267" i="29" l="1"/>
  <c r="I231" i="29"/>
  <c r="I108" i="29"/>
  <c r="J226" i="29"/>
  <c r="K226" i="29" l="1"/>
  <c r="H267" i="29"/>
  <c r="J231" i="29"/>
  <c r="K231" i="29" l="1"/>
  <c r="I267" i="29"/>
  <c r="L226" i="29"/>
  <c r="K108" i="29"/>
  <c r="J108" i="29"/>
  <c r="M226" i="29" l="1"/>
  <c r="L108" i="29"/>
  <c r="J267" i="29"/>
  <c r="L231" i="29"/>
  <c r="K267" i="29" l="1"/>
  <c r="M231" i="29"/>
  <c r="N226" i="29"/>
  <c r="M108" i="29"/>
  <c r="O226" i="29" l="1"/>
  <c r="L267" i="29"/>
  <c r="N231" i="29"/>
  <c r="N108" i="29" s="1"/>
  <c r="M267" i="29" l="1"/>
  <c r="O231" i="29"/>
  <c r="P226" i="29"/>
  <c r="O108" i="29"/>
  <c r="N267" i="29" l="1"/>
  <c r="P231" i="29"/>
  <c r="O267" i="29" s="1"/>
  <c r="P108" i="29" l="1"/>
  <c r="M111" i="28"/>
  <c r="AI108" i="29" l="1"/>
  <c r="AH108" i="29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E271" i="28"/>
  <c r="D271" i="28"/>
  <c r="C271" i="28"/>
  <c r="B271" i="28"/>
  <c r="A271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E270" i="28"/>
  <c r="D270" i="28"/>
  <c r="C270" i="28"/>
  <c r="B270" i="28"/>
  <c r="A270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E269" i="28"/>
  <c r="D269" i="28"/>
  <c r="C269" i="28"/>
  <c r="B269" i="28"/>
  <c r="A269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E268" i="28"/>
  <c r="D268" i="28"/>
  <c r="C268" i="28"/>
  <c r="B268" i="28"/>
  <c r="A268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B267" i="28"/>
  <c r="S242" i="28"/>
  <c r="AG232" i="28"/>
  <c r="AG65" i="28" s="1"/>
  <c r="AG66" i="28" s="1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C232" i="28"/>
  <c r="D231" i="28"/>
  <c r="E231" i="28" s="1"/>
  <c r="B231" i="28"/>
  <c r="AF267" i="28" s="1"/>
  <c r="D230" i="28"/>
  <c r="E230" i="28" s="1"/>
  <c r="F230" i="28" s="1"/>
  <c r="G230" i="28" s="1"/>
  <c r="H230" i="28" s="1"/>
  <c r="I230" i="28" s="1"/>
  <c r="J230" i="28" s="1"/>
  <c r="K230" i="28" s="1"/>
  <c r="L230" i="28" s="1"/>
  <c r="M230" i="28" s="1"/>
  <c r="N230" i="28" s="1"/>
  <c r="O230" i="28" s="1"/>
  <c r="P230" i="28" s="1"/>
  <c r="B230" i="28"/>
  <c r="D229" i="28"/>
  <c r="E229" i="28" s="1"/>
  <c r="F229" i="28" s="1"/>
  <c r="G229" i="28" s="1"/>
  <c r="H229" i="28" s="1"/>
  <c r="I229" i="28" s="1"/>
  <c r="J229" i="28" s="1"/>
  <c r="K229" i="28" s="1"/>
  <c r="L229" i="28" s="1"/>
  <c r="M229" i="28" s="1"/>
  <c r="N229" i="28" s="1"/>
  <c r="O229" i="28" s="1"/>
  <c r="P229" i="28" s="1"/>
  <c r="B229" i="28"/>
  <c r="D228" i="28"/>
  <c r="E228" i="28" s="1"/>
  <c r="F228" i="28" s="1"/>
  <c r="G228" i="28" s="1"/>
  <c r="H228" i="28" s="1"/>
  <c r="B228" i="28"/>
  <c r="D227" i="28"/>
  <c r="E227" i="28" s="1"/>
  <c r="F227" i="28" s="1"/>
  <c r="G227" i="28" s="1"/>
  <c r="H227" i="28" s="1"/>
  <c r="I227" i="28" s="1"/>
  <c r="J227" i="28" s="1"/>
  <c r="K227" i="28" s="1"/>
  <c r="L227" i="28" s="1"/>
  <c r="M227" i="28" s="1"/>
  <c r="N227" i="28" s="1"/>
  <c r="O227" i="28" s="1"/>
  <c r="P227" i="28" s="1"/>
  <c r="B227" i="28"/>
  <c r="D226" i="28"/>
  <c r="B226" i="28"/>
  <c r="B108" i="28" s="1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E224" i="28"/>
  <c r="D224" i="28"/>
  <c r="C224" i="28"/>
  <c r="B224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I110" i="28"/>
  <c r="AH110" i="28"/>
  <c r="AI109" i="28"/>
  <c r="AH109" i="28"/>
  <c r="AF108" i="28"/>
  <c r="AE108" i="28"/>
  <c r="AD108" i="28"/>
  <c r="AC108" i="28"/>
  <c r="AB108" i="28"/>
  <c r="AA108" i="28"/>
  <c r="W108" i="28"/>
  <c r="T108" i="28"/>
  <c r="S108" i="28"/>
  <c r="R108" i="28"/>
  <c r="Q108" i="28"/>
  <c r="C108" i="28"/>
  <c r="AI107" i="28"/>
  <c r="AH107" i="28"/>
  <c r="AI106" i="28"/>
  <c r="AH106" i="28"/>
  <c r="AI105" i="28"/>
  <c r="AH105" i="28"/>
  <c r="AI104" i="28"/>
  <c r="AH104" i="28"/>
  <c r="AI103" i="28"/>
  <c r="AH103" i="28"/>
  <c r="AI102" i="28"/>
  <c r="AH102" i="28"/>
  <c r="AI101" i="28"/>
  <c r="AH101" i="28"/>
  <c r="AI100" i="28"/>
  <c r="AH100" i="28"/>
  <c r="AI99" i="28"/>
  <c r="AH99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I91" i="28"/>
  <c r="AH91" i="28"/>
  <c r="AI88" i="28"/>
  <c r="AH88" i="28"/>
  <c r="AN246" i="28"/>
  <c r="AI86" i="28"/>
  <c r="AH86" i="28"/>
  <c r="AG86" i="28"/>
  <c r="AI85" i="28"/>
  <c r="AH85" i="28"/>
  <c r="AI84" i="28"/>
  <c r="AH84" i="28"/>
  <c r="AI83" i="28"/>
  <c r="AH83" i="28"/>
  <c r="AN82" i="28"/>
  <c r="AG82" i="28"/>
  <c r="AF82" i="28"/>
  <c r="AE5" i="28" s="1"/>
  <c r="AE82" i="28"/>
  <c r="AD5" i="28" s="1"/>
  <c r="AD82" i="28"/>
  <c r="AD98" i="28" s="1"/>
  <c r="AC82" i="28"/>
  <c r="AC98" i="28" s="1"/>
  <c r="AB82" i="28"/>
  <c r="AB98" i="28" s="1"/>
  <c r="AA82" i="28"/>
  <c r="AA98" i="28" s="1"/>
  <c r="W5" i="28"/>
  <c r="W82" i="28"/>
  <c r="V5" i="28" s="1"/>
  <c r="U5" i="28"/>
  <c r="T82" i="28"/>
  <c r="T98" i="28" s="1"/>
  <c r="S82" i="28"/>
  <c r="S98" i="28" s="1"/>
  <c r="R82" i="28"/>
  <c r="R98" i="28" s="1"/>
  <c r="Q82" i="28"/>
  <c r="P5" i="28" s="1"/>
  <c r="P82" i="28"/>
  <c r="O5" i="28" s="1"/>
  <c r="O82" i="28"/>
  <c r="N5" i="28" s="1"/>
  <c r="N82" i="28"/>
  <c r="M5" i="28" s="1"/>
  <c r="M82" i="28"/>
  <c r="L5" i="28" s="1"/>
  <c r="L82" i="28"/>
  <c r="K5" i="28" s="1"/>
  <c r="K82" i="28"/>
  <c r="K98" i="28" s="1"/>
  <c r="J82" i="28"/>
  <c r="J98" i="28" s="1"/>
  <c r="I82" i="28"/>
  <c r="I98" i="28" s="1"/>
  <c r="H82" i="28"/>
  <c r="G5" i="28" s="1"/>
  <c r="G82" i="28"/>
  <c r="F5" i="28" s="1"/>
  <c r="F82" i="28"/>
  <c r="E5" i="28" s="1"/>
  <c r="E82" i="28"/>
  <c r="D5" i="28" s="1"/>
  <c r="D82" i="28"/>
  <c r="D98" i="28" s="1"/>
  <c r="C82" i="28"/>
  <c r="C98" i="28" s="1"/>
  <c r="B82" i="28"/>
  <c r="AI81" i="28"/>
  <c r="AH81" i="28"/>
  <c r="AN80" i="28"/>
  <c r="AI80" i="28"/>
  <c r="AH80" i="28"/>
  <c r="AN79" i="28"/>
  <c r="AN81" i="28" s="1"/>
  <c r="AI79" i="28"/>
  <c r="AH79" i="28"/>
  <c r="AI78" i="28"/>
  <c r="AH78" i="28"/>
  <c r="AI77" i="28"/>
  <c r="AH77" i="28"/>
  <c r="AI76" i="28"/>
  <c r="AH76" i="28"/>
  <c r="AI75" i="28"/>
  <c r="AH75" i="28"/>
  <c r="AI74" i="28"/>
  <c r="AH74" i="28"/>
  <c r="AI73" i="28"/>
  <c r="AH73" i="28"/>
  <c r="AI72" i="28"/>
  <c r="AH72" i="28"/>
  <c r="AI71" i="28"/>
  <c r="AH71" i="28"/>
  <c r="AG70" i="28"/>
  <c r="AF70" i="28"/>
  <c r="AE70" i="28"/>
  <c r="AD70" i="28"/>
  <c r="AC70" i="28"/>
  <c r="AB70" i="28"/>
  <c r="AA70" i="28"/>
  <c r="W70" i="28"/>
  <c r="T70" i="28"/>
  <c r="S70" i="28"/>
  <c r="R70" i="28"/>
  <c r="Q70" i="28"/>
  <c r="P70" i="28"/>
  <c r="O70" i="28"/>
  <c r="N70" i="28"/>
  <c r="M70" i="28"/>
  <c r="L70" i="28"/>
  <c r="B70" i="28"/>
  <c r="AI69" i="28"/>
  <c r="AH69" i="28"/>
  <c r="AI68" i="28"/>
  <c r="AH68" i="28"/>
  <c r="AI67" i="28"/>
  <c r="AH67" i="28"/>
  <c r="AF66" i="28"/>
  <c r="AE66" i="28"/>
  <c r="AD66" i="28"/>
  <c r="AC66" i="28"/>
  <c r="AB66" i="28"/>
  <c r="AA66" i="28"/>
  <c r="X66" i="28"/>
  <c r="X87" i="28" s="1"/>
  <c r="X89" i="28" s="1"/>
  <c r="W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G52" i="28"/>
  <c r="AF52" i="28"/>
  <c r="AE52" i="28"/>
  <c r="AD52" i="28"/>
  <c r="AC52" i="28"/>
  <c r="AB52" i="28"/>
  <c r="AA52" i="28"/>
  <c r="W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AI51" i="28"/>
  <c r="AH51" i="28"/>
  <c r="AI50" i="28"/>
  <c r="AH50" i="28"/>
  <c r="AI49" i="28"/>
  <c r="AH49" i="28"/>
  <c r="AG48" i="28"/>
  <c r="AF48" i="28"/>
  <c r="AE48" i="28"/>
  <c r="AD48" i="28"/>
  <c r="AC48" i="28"/>
  <c r="AB48" i="28"/>
  <c r="AA48" i="28"/>
  <c r="W48" i="28"/>
  <c r="U48" i="28"/>
  <c r="U87" i="28" s="1"/>
  <c r="U89" i="28" s="1"/>
  <c r="U90" i="28" s="1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V7" i="28"/>
  <c r="T5" i="28"/>
  <c r="AG4" i="28"/>
  <c r="K4" i="28"/>
  <c r="E4" i="28"/>
  <c r="H4" i="28" s="1"/>
  <c r="B4" i="28"/>
  <c r="S243" i="28" s="1"/>
  <c r="AG3" i="28"/>
  <c r="F231" i="28" l="1"/>
  <c r="E267" i="28" s="1"/>
  <c r="D267" i="28"/>
  <c r="AG87" i="28"/>
  <c r="D232" i="28"/>
  <c r="D108" i="28"/>
  <c r="E226" i="28"/>
  <c r="E108" i="28" s="1"/>
  <c r="C267" i="28"/>
  <c r="AG89" i="28"/>
  <c r="AF98" i="28"/>
  <c r="AE98" i="28"/>
  <c r="AC5" i="28"/>
  <c r="AH70" i="28"/>
  <c r="AD87" i="28"/>
  <c r="AD89" i="28" s="1"/>
  <c r="AD7" i="28" s="1"/>
  <c r="AB5" i="28"/>
  <c r="AC87" i="28"/>
  <c r="AC89" i="28" s="1"/>
  <c r="AC7" i="28" s="1"/>
  <c r="AA5" i="28"/>
  <c r="AB87" i="28"/>
  <c r="AB89" i="28" s="1"/>
  <c r="AB90" i="28" s="1"/>
  <c r="Z5" i="28"/>
  <c r="AA87" i="28"/>
  <c r="AA89" i="28" s="1"/>
  <c r="AA90" i="28" s="1"/>
  <c r="W98" i="28"/>
  <c r="U7" i="28"/>
  <c r="T87" i="28"/>
  <c r="T89" i="28" s="1"/>
  <c r="AL246" i="28" s="1"/>
  <c r="S5" i="28"/>
  <c r="S87" i="28"/>
  <c r="S89" i="28" s="1"/>
  <c r="S90" i="28" s="1"/>
  <c r="R5" i="28"/>
  <c r="Q5" i="28"/>
  <c r="R87" i="28"/>
  <c r="R89" i="28" s="1"/>
  <c r="R90" i="28" s="1"/>
  <c r="Q87" i="28"/>
  <c r="Q89" i="28" s="1"/>
  <c r="P98" i="28"/>
  <c r="O98" i="28"/>
  <c r="N87" i="28"/>
  <c r="N89" i="28" s="1"/>
  <c r="AF246" i="28" s="1"/>
  <c r="M98" i="28"/>
  <c r="M87" i="28"/>
  <c r="M89" i="28" s="1"/>
  <c r="M90" i="28" s="1"/>
  <c r="L98" i="28"/>
  <c r="L87" i="28"/>
  <c r="L89" i="28" s="1"/>
  <c r="L90" i="28" s="1"/>
  <c r="J5" i="28"/>
  <c r="K87" i="28"/>
  <c r="K89" i="28" s="1"/>
  <c r="K90" i="28" s="1"/>
  <c r="J87" i="28"/>
  <c r="J89" i="28" s="1"/>
  <c r="J90" i="28" s="1"/>
  <c r="I87" i="28"/>
  <c r="I89" i="28" s="1"/>
  <c r="I90" i="28" s="1"/>
  <c r="H98" i="28"/>
  <c r="G98" i="28"/>
  <c r="AH66" i="28"/>
  <c r="F87" i="28"/>
  <c r="F89" i="28" s="1"/>
  <c r="X246" i="28" s="1"/>
  <c r="E98" i="28"/>
  <c r="E87" i="28"/>
  <c r="E89" i="28" s="1"/>
  <c r="W246" i="28" s="1"/>
  <c r="C5" i="28"/>
  <c r="D87" i="28"/>
  <c r="D89" i="28" s="1"/>
  <c r="D7" i="28" s="1"/>
  <c r="B5" i="28"/>
  <c r="AI66" i="28"/>
  <c r="C87" i="28"/>
  <c r="C89" i="28" s="1"/>
  <c r="C7" i="28" s="1"/>
  <c r="AQ246" i="28"/>
  <c r="Y7" i="28"/>
  <c r="Q90" i="28"/>
  <c r="AI246" i="28"/>
  <c r="Q7" i="28"/>
  <c r="Z7" i="28"/>
  <c r="AR246" i="28"/>
  <c r="B87" i="28"/>
  <c r="B98" i="28"/>
  <c r="AI82" i="28"/>
  <c r="AH82" i="28"/>
  <c r="G231" i="28"/>
  <c r="Q98" i="28"/>
  <c r="F226" i="28"/>
  <c r="AJ246" i="28"/>
  <c r="AG2" i="28"/>
  <c r="AG6" i="28" s="1"/>
  <c r="H5" i="28"/>
  <c r="AF5" i="28"/>
  <c r="E7" i="28"/>
  <c r="I5" i="28"/>
  <c r="X5" i="28"/>
  <c r="G87" i="28"/>
  <c r="G89" i="28" s="1"/>
  <c r="O87" i="28"/>
  <c r="O89" i="28" s="1"/>
  <c r="W87" i="28"/>
  <c r="W89" i="28" s="1"/>
  <c r="AE87" i="28"/>
  <c r="AE89" i="28" s="1"/>
  <c r="Y5" i="28"/>
  <c r="H87" i="28"/>
  <c r="H89" i="28" s="1"/>
  <c r="P87" i="28"/>
  <c r="P89" i="28" s="1"/>
  <c r="AF87" i="28"/>
  <c r="AF89" i="28" s="1"/>
  <c r="AH52" i="28"/>
  <c r="AI70" i="28"/>
  <c r="F98" i="28"/>
  <c r="N98" i="28"/>
  <c r="D243" i="28"/>
  <c r="AH48" i="28"/>
  <c r="AI48" i="28"/>
  <c r="AI52" i="28"/>
  <c r="B232" i="28"/>
  <c r="S7" i="28" l="1"/>
  <c r="AK246" i="28"/>
  <c r="T7" i="28"/>
  <c r="T90" i="28"/>
  <c r="E232" i="28"/>
  <c r="AV246" i="28"/>
  <c r="AD90" i="28"/>
  <c r="AC90" i="28"/>
  <c r="AU246" i="28"/>
  <c r="AB7" i="28"/>
  <c r="AT246" i="28"/>
  <c r="AS246" i="28"/>
  <c r="AA7" i="28"/>
  <c r="AM246" i="28"/>
  <c r="R7" i="28"/>
  <c r="AE246" i="28"/>
  <c r="M7" i="28"/>
  <c r="N7" i="28"/>
  <c r="N90" i="28"/>
  <c r="L7" i="28"/>
  <c r="AD246" i="28"/>
  <c r="K7" i="28"/>
  <c r="AC246" i="28"/>
  <c r="AB246" i="28"/>
  <c r="J7" i="28"/>
  <c r="AA246" i="28"/>
  <c r="I7" i="28"/>
  <c r="F7" i="28"/>
  <c r="F90" i="28"/>
  <c r="E90" i="28"/>
  <c r="V246" i="28"/>
  <c r="D90" i="28"/>
  <c r="U246" i="28"/>
  <c r="C90" i="28"/>
  <c r="AX246" i="28"/>
  <c r="AF7" i="28"/>
  <c r="AF90" i="28"/>
  <c r="AW246" i="28"/>
  <c r="AE7" i="28"/>
  <c r="AE90" i="28"/>
  <c r="H231" i="28"/>
  <c r="F267" i="28"/>
  <c r="AP246" i="28"/>
  <c r="X90" i="28"/>
  <c r="X7" i="28"/>
  <c r="AO246" i="28"/>
  <c r="W7" i="28"/>
  <c r="W90" i="28"/>
  <c r="AH246" i="28"/>
  <c r="P7" i="28"/>
  <c r="P90" i="28"/>
  <c r="AG246" i="28"/>
  <c r="O7" i="28"/>
  <c r="O90" i="28"/>
  <c r="Z246" i="28"/>
  <c r="H7" i="28"/>
  <c r="H90" i="28"/>
  <c r="Y246" i="28"/>
  <c r="C241" i="28"/>
  <c r="B241" i="28"/>
  <c r="G7" i="28"/>
  <c r="G90" i="28"/>
  <c r="G226" i="28"/>
  <c r="F232" i="28"/>
  <c r="F108" i="28"/>
  <c r="AI98" i="28"/>
  <c r="AH98" i="28"/>
  <c r="AH87" i="28"/>
  <c r="AI87" i="28"/>
  <c r="B89" i="28"/>
  <c r="AI89" i="28" l="1"/>
  <c r="B90" i="28"/>
  <c r="B7" i="28"/>
  <c r="A7" i="28" s="1"/>
  <c r="AH89" i="28"/>
  <c r="T246" i="28"/>
  <c r="G267" i="28"/>
  <c r="I231" i="28"/>
  <c r="K6" i="28"/>
  <c r="H226" i="28"/>
  <c r="G108" i="28"/>
  <c r="G232" i="28"/>
  <c r="I226" i="28" l="1"/>
  <c r="H232" i="28"/>
  <c r="H108" i="28"/>
  <c r="AH90" i="28"/>
  <c r="AI90" i="28"/>
  <c r="H267" i="28"/>
  <c r="J231" i="28"/>
  <c r="I108" i="28" l="1"/>
  <c r="J226" i="28"/>
  <c r="K231" i="28"/>
  <c r="I267" i="28"/>
  <c r="J108" i="28" l="1"/>
  <c r="K226" i="28"/>
  <c r="J267" i="28"/>
  <c r="L231" i="28"/>
  <c r="K108" i="28" l="1"/>
  <c r="L226" i="28"/>
  <c r="M231" i="28"/>
  <c r="K267" i="28"/>
  <c r="M226" i="28" l="1"/>
  <c r="L108" i="28"/>
  <c r="L267" i="28"/>
  <c r="N231" i="28"/>
  <c r="M267" i="28" l="1"/>
  <c r="O231" i="28"/>
  <c r="N226" i="28"/>
  <c r="M108" i="28"/>
  <c r="O226" i="28" l="1"/>
  <c r="N108" i="28"/>
  <c r="P231" i="28"/>
  <c r="O267" i="28" s="1"/>
  <c r="N267" i="28"/>
  <c r="P226" i="28" l="1"/>
  <c r="O108" i="28"/>
  <c r="AH108" i="28" l="1"/>
  <c r="AI108" i="28"/>
  <c r="R111" i="27" l="1"/>
  <c r="N111" i="27"/>
  <c r="D111" i="27" l="1"/>
  <c r="D82" i="27"/>
  <c r="D98" i="27" s="1"/>
  <c r="C111" i="27"/>
  <c r="B111" i="27"/>
  <c r="B82" i="27"/>
  <c r="B98" i="27" s="1"/>
  <c r="B70" i="27"/>
  <c r="B66" i="27"/>
  <c r="B52" i="27"/>
  <c r="B48" i="27"/>
  <c r="AF271" i="27"/>
  <c r="AE271" i="27"/>
  <c r="AD271" i="27"/>
  <c r="AC271" i="27"/>
  <c r="AB271" i="27"/>
  <c r="AA271" i="27"/>
  <c r="Z271" i="27"/>
  <c r="Y271" i="27"/>
  <c r="X271" i="27"/>
  <c r="W271" i="27"/>
  <c r="V271" i="27"/>
  <c r="U271" i="27"/>
  <c r="T271" i="27"/>
  <c r="S271" i="27"/>
  <c r="R271" i="27"/>
  <c r="Q271" i="27"/>
  <c r="P271" i="27"/>
  <c r="O271" i="27"/>
  <c r="N271" i="27"/>
  <c r="M271" i="27"/>
  <c r="L271" i="27"/>
  <c r="K271" i="27"/>
  <c r="J271" i="27"/>
  <c r="I271" i="27"/>
  <c r="H271" i="27"/>
  <c r="G271" i="27"/>
  <c r="F271" i="27"/>
  <c r="E271" i="27"/>
  <c r="D271" i="27"/>
  <c r="C271" i="27"/>
  <c r="B271" i="27"/>
  <c r="A271" i="27"/>
  <c r="AF270" i="27"/>
  <c r="AE270" i="27"/>
  <c r="AD270" i="27"/>
  <c r="AC270" i="27"/>
  <c r="AB270" i="27"/>
  <c r="AA270" i="27"/>
  <c r="Z270" i="27"/>
  <c r="Y270" i="27"/>
  <c r="X270" i="27"/>
  <c r="W270" i="27"/>
  <c r="V270" i="27"/>
  <c r="U270" i="27"/>
  <c r="T270" i="27"/>
  <c r="S270" i="27"/>
  <c r="R270" i="27"/>
  <c r="Q270" i="27"/>
  <c r="P270" i="27"/>
  <c r="O270" i="27"/>
  <c r="N270" i="27"/>
  <c r="M270" i="27"/>
  <c r="L270" i="27"/>
  <c r="K270" i="27"/>
  <c r="J270" i="27"/>
  <c r="I270" i="27"/>
  <c r="H270" i="27"/>
  <c r="G270" i="27"/>
  <c r="F270" i="27"/>
  <c r="E270" i="27"/>
  <c r="D270" i="27"/>
  <c r="C270" i="27"/>
  <c r="B270" i="27"/>
  <c r="A270" i="27"/>
  <c r="AF269" i="27"/>
  <c r="AE269" i="27"/>
  <c r="AD269" i="27"/>
  <c r="AC269" i="27"/>
  <c r="AB269" i="27"/>
  <c r="AA269" i="27"/>
  <c r="Z269" i="27"/>
  <c r="Y269" i="27"/>
  <c r="X269" i="27"/>
  <c r="W269" i="27"/>
  <c r="V269" i="27"/>
  <c r="U269" i="27"/>
  <c r="T269" i="27"/>
  <c r="S269" i="27"/>
  <c r="R269" i="27"/>
  <c r="Q269" i="27"/>
  <c r="P269" i="27"/>
  <c r="O269" i="27"/>
  <c r="N269" i="27"/>
  <c r="M269" i="27"/>
  <c r="L269" i="27"/>
  <c r="K269" i="27"/>
  <c r="J269" i="27"/>
  <c r="I269" i="27"/>
  <c r="H269" i="27"/>
  <c r="G269" i="27"/>
  <c r="F269" i="27"/>
  <c r="E269" i="27"/>
  <c r="D269" i="27"/>
  <c r="C269" i="27"/>
  <c r="B269" i="27"/>
  <c r="A269" i="27"/>
  <c r="AF268" i="27"/>
  <c r="AE268" i="27"/>
  <c r="AD268" i="27"/>
  <c r="AC268" i="27"/>
  <c r="AB268" i="27"/>
  <c r="AA268" i="27"/>
  <c r="Z268" i="27"/>
  <c r="Y268" i="27"/>
  <c r="X268" i="27"/>
  <c r="W268" i="27"/>
  <c r="V268" i="27"/>
  <c r="U268" i="27"/>
  <c r="T268" i="27"/>
  <c r="S268" i="27"/>
  <c r="R268" i="27"/>
  <c r="Q268" i="27"/>
  <c r="P268" i="27"/>
  <c r="O268" i="27"/>
  <c r="N268" i="27"/>
  <c r="M268" i="27"/>
  <c r="L268" i="27"/>
  <c r="K268" i="27"/>
  <c r="J268" i="27"/>
  <c r="I268" i="27"/>
  <c r="H268" i="27"/>
  <c r="G268" i="27"/>
  <c r="F268" i="27"/>
  <c r="E268" i="27"/>
  <c r="D268" i="27"/>
  <c r="C268" i="27"/>
  <c r="B268" i="27"/>
  <c r="A268" i="27"/>
  <c r="AE267" i="27"/>
  <c r="AD267" i="27"/>
  <c r="AC267" i="27"/>
  <c r="AB267" i="27"/>
  <c r="AA267" i="27"/>
  <c r="Z267" i="27"/>
  <c r="Y267" i="27"/>
  <c r="X267" i="27"/>
  <c r="W267" i="27"/>
  <c r="V267" i="27"/>
  <c r="U267" i="27"/>
  <c r="T267" i="27"/>
  <c r="S267" i="27"/>
  <c r="R267" i="27"/>
  <c r="Q267" i="27"/>
  <c r="P267" i="27"/>
  <c r="B267" i="27"/>
  <c r="S242" i="27"/>
  <c r="AG232" i="27"/>
  <c r="AF232" i="27"/>
  <c r="AE232" i="27"/>
  <c r="AD232" i="27"/>
  <c r="AC232" i="27"/>
  <c r="AB232" i="27"/>
  <c r="AA232" i="27"/>
  <c r="Z232" i="27"/>
  <c r="Y232" i="27"/>
  <c r="X232" i="27"/>
  <c r="W232" i="27"/>
  <c r="V232" i="27"/>
  <c r="U232" i="27"/>
  <c r="T232" i="27"/>
  <c r="S232" i="27"/>
  <c r="R232" i="27"/>
  <c r="Q232" i="27"/>
  <c r="C232" i="27"/>
  <c r="D231" i="27"/>
  <c r="E231" i="27" s="1"/>
  <c r="B231" i="27"/>
  <c r="AF267" i="27" s="1"/>
  <c r="D230" i="27"/>
  <c r="E230" i="27" s="1"/>
  <c r="F230" i="27" s="1"/>
  <c r="G230" i="27" s="1"/>
  <c r="H230" i="27" s="1"/>
  <c r="I230" i="27" s="1"/>
  <c r="J230" i="27" s="1"/>
  <c r="K230" i="27" s="1"/>
  <c r="L230" i="27" s="1"/>
  <c r="M230" i="27" s="1"/>
  <c r="N230" i="27" s="1"/>
  <c r="O230" i="27" s="1"/>
  <c r="P230" i="27" s="1"/>
  <c r="B230" i="27"/>
  <c r="G229" i="27"/>
  <c r="H229" i="27" s="1"/>
  <c r="I229" i="27" s="1"/>
  <c r="F229" i="27"/>
  <c r="E229" i="27"/>
  <c r="D229" i="27"/>
  <c r="B229" i="27"/>
  <c r="D228" i="27"/>
  <c r="E228" i="27" s="1"/>
  <c r="F228" i="27" s="1"/>
  <c r="G228" i="27" s="1"/>
  <c r="H228" i="27" s="1"/>
  <c r="B228" i="27"/>
  <c r="F227" i="27"/>
  <c r="G227" i="27" s="1"/>
  <c r="H227" i="27" s="1"/>
  <c r="I227" i="27" s="1"/>
  <c r="J227" i="27" s="1"/>
  <c r="K227" i="27" s="1"/>
  <c r="L227" i="27" s="1"/>
  <c r="M227" i="27" s="1"/>
  <c r="N227" i="27" s="1"/>
  <c r="O227" i="27" s="1"/>
  <c r="P227" i="27" s="1"/>
  <c r="E227" i="27"/>
  <c r="D227" i="27"/>
  <c r="B227" i="27"/>
  <c r="D226" i="27"/>
  <c r="E226" i="27" s="1"/>
  <c r="B226" i="27"/>
  <c r="B232" i="27" s="1"/>
  <c r="AG224" i="27"/>
  <c r="AF224" i="27"/>
  <c r="AE224" i="27"/>
  <c r="AD224" i="27"/>
  <c r="AC224" i="27"/>
  <c r="AB224" i="27"/>
  <c r="AA224" i="27"/>
  <c r="Z224" i="27"/>
  <c r="Y224" i="27"/>
  <c r="X224" i="27"/>
  <c r="W224" i="27"/>
  <c r="V224" i="27"/>
  <c r="U224" i="27"/>
  <c r="T224" i="27"/>
  <c r="S224" i="27"/>
  <c r="R224" i="27"/>
  <c r="Q224" i="27"/>
  <c r="P224" i="27"/>
  <c r="O224" i="27"/>
  <c r="N224" i="27"/>
  <c r="M224" i="27"/>
  <c r="L224" i="27"/>
  <c r="K224" i="27"/>
  <c r="J224" i="27"/>
  <c r="I224" i="27"/>
  <c r="H224" i="27"/>
  <c r="G224" i="27"/>
  <c r="F224" i="27"/>
  <c r="E224" i="27"/>
  <c r="D224" i="27"/>
  <c r="C224" i="27"/>
  <c r="B224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D108" i="27"/>
  <c r="C108" i="27"/>
  <c r="AI107" i="27"/>
  <c r="AH107" i="27"/>
  <c r="AI106" i="27"/>
  <c r="AH106" i="27"/>
  <c r="AI105" i="27"/>
  <c r="AH105" i="27"/>
  <c r="AI104" i="27"/>
  <c r="AH104" i="27"/>
  <c r="AI103" i="27"/>
  <c r="AH103" i="27"/>
  <c r="AI102" i="27"/>
  <c r="AH102" i="27"/>
  <c r="AI101" i="27"/>
  <c r="AH101" i="27"/>
  <c r="AI100" i="27"/>
  <c r="AH100" i="27"/>
  <c r="AI99" i="27"/>
  <c r="AH99" i="27"/>
  <c r="AI97" i="27"/>
  <c r="AH97" i="27"/>
  <c r="AI96" i="27"/>
  <c r="AH96" i="27"/>
  <c r="AI95" i="27"/>
  <c r="AH95" i="27"/>
  <c r="AI94" i="27"/>
  <c r="AH94" i="27"/>
  <c r="AI93" i="27"/>
  <c r="AH93" i="27"/>
  <c r="AI92" i="27"/>
  <c r="AH92" i="27"/>
  <c r="AI91" i="27"/>
  <c r="AH91" i="27"/>
  <c r="AI88" i="27"/>
  <c r="AH88" i="27"/>
  <c r="AI86" i="27"/>
  <c r="AH86" i="27"/>
  <c r="AG86" i="27"/>
  <c r="AI85" i="27"/>
  <c r="AH85" i="27"/>
  <c r="AI84" i="27"/>
  <c r="AH84" i="27"/>
  <c r="AI83" i="27"/>
  <c r="AH83" i="27"/>
  <c r="AN82" i="27"/>
  <c r="AG82" i="27"/>
  <c r="AF82" i="27"/>
  <c r="AF98" i="27" s="1"/>
  <c r="AE82" i="27"/>
  <c r="AE98" i="27" s="1"/>
  <c r="AD82" i="27"/>
  <c r="AD98" i="27" s="1"/>
  <c r="AC82" i="27"/>
  <c r="AC98" i="27" s="1"/>
  <c r="AB82" i="27"/>
  <c r="AB98" i="27" s="1"/>
  <c r="AA82" i="27"/>
  <c r="AA98" i="27" s="1"/>
  <c r="Z82" i="27"/>
  <c r="Z98" i="27" s="1"/>
  <c r="X82" i="27"/>
  <c r="X98" i="27" s="1"/>
  <c r="W82" i="27"/>
  <c r="W98" i="27" s="1"/>
  <c r="V82" i="27"/>
  <c r="V98" i="27" s="1"/>
  <c r="U82" i="27"/>
  <c r="U98" i="27" s="1"/>
  <c r="T82" i="27"/>
  <c r="T98" i="27" s="1"/>
  <c r="S82" i="27"/>
  <c r="S98" i="27" s="1"/>
  <c r="R82" i="27"/>
  <c r="R98" i="27" s="1"/>
  <c r="Q82" i="27"/>
  <c r="Q98" i="27" s="1"/>
  <c r="P82" i="27"/>
  <c r="P98" i="27" s="1"/>
  <c r="O82" i="27"/>
  <c r="O98" i="27" s="1"/>
  <c r="N82" i="27"/>
  <c r="N98" i="27" s="1"/>
  <c r="M82" i="27"/>
  <c r="M98" i="27" s="1"/>
  <c r="L82" i="27"/>
  <c r="L98" i="27" s="1"/>
  <c r="K82" i="27"/>
  <c r="K98" i="27" s="1"/>
  <c r="J82" i="27"/>
  <c r="J98" i="27" s="1"/>
  <c r="I82" i="27"/>
  <c r="I98" i="27" s="1"/>
  <c r="H82" i="27"/>
  <c r="H98" i="27" s="1"/>
  <c r="G82" i="27"/>
  <c r="G98" i="27" s="1"/>
  <c r="F82" i="27"/>
  <c r="F98" i="27" s="1"/>
  <c r="E82" i="27"/>
  <c r="E98" i="27" s="1"/>
  <c r="C82" i="27"/>
  <c r="C98" i="27" s="1"/>
  <c r="AI81" i="27"/>
  <c r="AH81" i="27"/>
  <c r="AN80" i="27"/>
  <c r="AI80" i="27"/>
  <c r="AH80" i="27"/>
  <c r="AN79" i="27"/>
  <c r="AI79" i="27"/>
  <c r="AH79" i="27"/>
  <c r="AI78" i="27"/>
  <c r="AH78" i="27"/>
  <c r="AI77" i="27"/>
  <c r="AH77" i="27"/>
  <c r="AI76" i="27"/>
  <c r="AH76" i="27"/>
  <c r="AI75" i="27"/>
  <c r="AH75" i="27"/>
  <c r="AI74" i="27"/>
  <c r="AH74" i="27"/>
  <c r="AI73" i="27"/>
  <c r="AH73" i="27"/>
  <c r="AI72" i="27"/>
  <c r="AH72" i="27"/>
  <c r="AI71" i="27"/>
  <c r="AH71" i="27"/>
  <c r="AG70" i="27"/>
  <c r="AF70" i="27"/>
  <c r="AE70" i="27"/>
  <c r="AD70" i="27"/>
  <c r="AC70" i="27"/>
  <c r="AB70" i="27"/>
  <c r="AA70" i="27"/>
  <c r="Z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AI69" i="27"/>
  <c r="AH69" i="27"/>
  <c r="AI68" i="27"/>
  <c r="AH68" i="27"/>
  <c r="AI67" i="27"/>
  <c r="AH67" i="27"/>
  <c r="AF66" i="27"/>
  <c r="AE66" i="27"/>
  <c r="AD66" i="27"/>
  <c r="AC66" i="27"/>
  <c r="AB66" i="27"/>
  <c r="AA66" i="27"/>
  <c r="Z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AI65" i="27"/>
  <c r="AH65" i="27"/>
  <c r="AG65" i="27"/>
  <c r="AG66" i="27" s="1"/>
  <c r="AG3" i="27" s="1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G52" i="27"/>
  <c r="AF52" i="27"/>
  <c r="AE52" i="27"/>
  <c r="AD52" i="27"/>
  <c r="AC52" i="27"/>
  <c r="AB52" i="27"/>
  <c r="AA52" i="27"/>
  <c r="Z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I51" i="27"/>
  <c r="AH51" i="27"/>
  <c r="AI50" i="27"/>
  <c r="AH50" i="27"/>
  <c r="AI49" i="27"/>
  <c r="AH49" i="27"/>
  <c r="AG48" i="27"/>
  <c r="AF48" i="27"/>
  <c r="AE48" i="27"/>
  <c r="AD48" i="27"/>
  <c r="AC48" i="27"/>
  <c r="AB48" i="27"/>
  <c r="AA48" i="27"/>
  <c r="Z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Z5" i="27"/>
  <c r="X5" i="27"/>
  <c r="R5" i="27"/>
  <c r="AG4" i="27"/>
  <c r="K4" i="27"/>
  <c r="E4" i="27"/>
  <c r="H4" i="27" s="1"/>
  <c r="B4" i="27"/>
  <c r="S243" i="27" s="1"/>
  <c r="AG2" i="27"/>
  <c r="AF111" i="26"/>
  <c r="AD48" i="26"/>
  <c r="AD52" i="26"/>
  <c r="AD66" i="26"/>
  <c r="AD70" i="26"/>
  <c r="AD82" i="26"/>
  <c r="F231" i="27" l="1"/>
  <c r="E267" i="27" s="1"/>
  <c r="D267" i="27"/>
  <c r="D232" i="27"/>
  <c r="C267" i="27"/>
  <c r="W5" i="27"/>
  <c r="AN81" i="27"/>
  <c r="B108" i="27"/>
  <c r="AG6" i="27"/>
  <c r="Y5" i="27"/>
  <c r="AE5" i="27"/>
  <c r="AF87" i="27"/>
  <c r="AF89" i="27" s="1"/>
  <c r="AF7" i="27" s="1"/>
  <c r="AD5" i="27"/>
  <c r="AE87" i="27"/>
  <c r="AE89" i="27" s="1"/>
  <c r="AW246" i="27" s="1"/>
  <c r="AC5" i="27"/>
  <c r="AD87" i="27"/>
  <c r="AD89" i="27" s="1"/>
  <c r="AV246" i="27" s="1"/>
  <c r="AB5" i="27"/>
  <c r="AC87" i="27"/>
  <c r="AC89" i="27" s="1"/>
  <c r="AC7" i="27" s="1"/>
  <c r="AA5" i="27"/>
  <c r="AB87" i="27"/>
  <c r="AB89" i="27" s="1"/>
  <c r="AA87" i="27"/>
  <c r="AA89" i="27" s="1"/>
  <c r="AS246" i="27" s="1"/>
  <c r="Z87" i="27"/>
  <c r="Z89" i="27" s="1"/>
  <c r="Z90" i="27" s="1"/>
  <c r="X87" i="27"/>
  <c r="X89" i="27" s="1"/>
  <c r="X90" i="27" s="1"/>
  <c r="V5" i="27"/>
  <c r="W87" i="27"/>
  <c r="W89" i="27" s="1"/>
  <c r="AO246" i="27" s="1"/>
  <c r="U5" i="27"/>
  <c r="V87" i="27"/>
  <c r="V89" i="27" s="1"/>
  <c r="AN246" i="27" s="1"/>
  <c r="T5" i="27"/>
  <c r="U87" i="27"/>
  <c r="U89" i="27" s="1"/>
  <c r="S5" i="27"/>
  <c r="T87" i="27"/>
  <c r="T89" i="27" s="1"/>
  <c r="T90" i="27" s="1"/>
  <c r="S87" i="27"/>
  <c r="S89" i="27" s="1"/>
  <c r="S90" i="27" s="1"/>
  <c r="Q5" i="27"/>
  <c r="R87" i="27"/>
  <c r="R89" i="27" s="1"/>
  <c r="R7" i="27" s="1"/>
  <c r="P5" i="27"/>
  <c r="Q87" i="27"/>
  <c r="Q89" i="27" s="1"/>
  <c r="Q90" i="27" s="1"/>
  <c r="O5" i="27"/>
  <c r="P87" i="27"/>
  <c r="P89" i="27" s="1"/>
  <c r="P90" i="27" s="1"/>
  <c r="N5" i="27"/>
  <c r="O87" i="27"/>
  <c r="O89" i="27" s="1"/>
  <c r="AG246" i="27" s="1"/>
  <c r="M5" i="27"/>
  <c r="N87" i="27"/>
  <c r="N89" i="27" s="1"/>
  <c r="N7" i="27" s="1"/>
  <c r="L5" i="27"/>
  <c r="AI70" i="27"/>
  <c r="M87" i="27"/>
  <c r="M89" i="27" s="1"/>
  <c r="M90" i="27" s="1"/>
  <c r="K5" i="27"/>
  <c r="L87" i="27"/>
  <c r="L89" i="27" s="1"/>
  <c r="L90" i="27" s="1"/>
  <c r="J5" i="27"/>
  <c r="K87" i="27"/>
  <c r="K89" i="27" s="1"/>
  <c r="K7" i="27" s="1"/>
  <c r="I5" i="27"/>
  <c r="J87" i="27"/>
  <c r="J89" i="27" s="1"/>
  <c r="J90" i="27" s="1"/>
  <c r="H5" i="27"/>
  <c r="I87" i="27"/>
  <c r="I89" i="27" s="1"/>
  <c r="I90" i="27" s="1"/>
  <c r="AI66" i="27"/>
  <c r="G5" i="27"/>
  <c r="H87" i="27"/>
  <c r="H89" i="27" s="1"/>
  <c r="H90" i="27" s="1"/>
  <c r="G87" i="27"/>
  <c r="G89" i="27" s="1"/>
  <c r="Y246" i="27" s="1"/>
  <c r="F5" i="27"/>
  <c r="E5" i="27"/>
  <c r="F87" i="27"/>
  <c r="F89" i="27" s="1"/>
  <c r="F7" i="27" s="1"/>
  <c r="D5" i="27"/>
  <c r="AI52" i="27"/>
  <c r="E87" i="27"/>
  <c r="E89" i="27" s="1"/>
  <c r="E90" i="27" s="1"/>
  <c r="C5" i="27"/>
  <c r="D87" i="27"/>
  <c r="D89" i="27" s="1"/>
  <c r="D7" i="27" s="1"/>
  <c r="AF5" i="27"/>
  <c r="B87" i="27"/>
  <c r="B89" i="27" s="1"/>
  <c r="B90" i="27" s="1"/>
  <c r="B5" i="27"/>
  <c r="C87" i="27"/>
  <c r="C89" i="27" s="1"/>
  <c r="C7" i="27" s="1"/>
  <c r="AB90" i="27"/>
  <c r="AB7" i="27"/>
  <c r="AT246" i="27"/>
  <c r="U7" i="27"/>
  <c r="AM246" i="27"/>
  <c r="U90" i="27"/>
  <c r="J229" i="27"/>
  <c r="K229" i="27" s="1"/>
  <c r="L229" i="27" s="1"/>
  <c r="M229" i="27" s="1"/>
  <c r="N229" i="27" s="1"/>
  <c r="O229" i="27" s="1"/>
  <c r="P229" i="27" s="1"/>
  <c r="V7" i="27"/>
  <c r="AG89" i="27"/>
  <c r="AI98" i="27"/>
  <c r="AH98" i="27"/>
  <c r="AA90" i="27"/>
  <c r="AA7" i="27"/>
  <c r="AF90" i="27"/>
  <c r="AX246" i="27"/>
  <c r="S7" i="27"/>
  <c r="AK246" i="27"/>
  <c r="D90" i="27"/>
  <c r="I7" i="27"/>
  <c r="Y7" i="27"/>
  <c r="AQ246" i="27"/>
  <c r="AG87" i="27"/>
  <c r="F226" i="27"/>
  <c r="E108" i="27"/>
  <c r="E232" i="27"/>
  <c r="X7" i="27"/>
  <c r="AP246" i="27"/>
  <c r="AH70" i="27"/>
  <c r="D243" i="27"/>
  <c r="AH66" i="27"/>
  <c r="AH82" i="27"/>
  <c r="G231" i="27"/>
  <c r="AH48" i="27"/>
  <c r="AH52" i="27"/>
  <c r="AI82" i="27"/>
  <c r="AI48" i="27"/>
  <c r="AD87" i="26"/>
  <c r="AD89" i="26" s="1"/>
  <c r="AD90" i="26" s="1"/>
  <c r="AH246" i="27" l="1"/>
  <c r="K90" i="27"/>
  <c r="P7" i="27"/>
  <c r="V246" i="27"/>
  <c r="AE7" i="27"/>
  <c r="AE90" i="27"/>
  <c r="AD90" i="27"/>
  <c r="AD7" i="27"/>
  <c r="AU246" i="27"/>
  <c r="AC90" i="27"/>
  <c r="AR246" i="27"/>
  <c r="Z7" i="27"/>
  <c r="W7" i="27"/>
  <c r="W90" i="27"/>
  <c r="V90" i="27"/>
  <c r="AL246" i="27"/>
  <c r="T7" i="27"/>
  <c r="AJ246" i="27"/>
  <c r="R90" i="27"/>
  <c r="AI246" i="27"/>
  <c r="Q7" i="27"/>
  <c r="O90" i="27"/>
  <c r="O7" i="27"/>
  <c r="N90" i="27"/>
  <c r="AF246" i="27"/>
  <c r="AE246" i="27"/>
  <c r="M7" i="27"/>
  <c r="AD246" i="27"/>
  <c r="L7" i="27"/>
  <c r="X246" i="27"/>
  <c r="E7" i="27"/>
  <c r="AC246" i="27"/>
  <c r="AB246" i="27"/>
  <c r="J7" i="27"/>
  <c r="AA246" i="27"/>
  <c r="G7" i="27"/>
  <c r="G90" i="27"/>
  <c r="C241" i="27"/>
  <c r="Z246" i="27"/>
  <c r="H7" i="27"/>
  <c r="B241" i="27"/>
  <c r="F90" i="27"/>
  <c r="AI87" i="27"/>
  <c r="W246" i="27"/>
  <c r="C90" i="27"/>
  <c r="AH87" i="27"/>
  <c r="U246" i="27"/>
  <c r="F267" i="27"/>
  <c r="H231" i="27"/>
  <c r="G226" i="27"/>
  <c r="F108" i="27"/>
  <c r="F232" i="27"/>
  <c r="AI89" i="27"/>
  <c r="AH89" i="27"/>
  <c r="B7" i="27"/>
  <c r="T246" i="27"/>
  <c r="A7" i="27" l="1"/>
  <c r="K6" i="27"/>
  <c r="H226" i="27"/>
  <c r="G108" i="27"/>
  <c r="G232" i="27"/>
  <c r="G267" i="27"/>
  <c r="I231" i="27"/>
  <c r="AI90" i="27"/>
  <c r="AH90" i="27"/>
  <c r="H267" i="27" l="1"/>
  <c r="J231" i="27"/>
  <c r="I226" i="27"/>
  <c r="H108" i="27"/>
  <c r="H232" i="27"/>
  <c r="I108" i="27" l="1"/>
  <c r="J226" i="27"/>
  <c r="K231" i="27"/>
  <c r="I267" i="27"/>
  <c r="J267" i="27" l="1"/>
  <c r="L231" i="27"/>
  <c r="J108" i="27"/>
  <c r="K226" i="27"/>
  <c r="L226" i="27" l="1"/>
  <c r="K108" i="27"/>
  <c r="K267" i="27"/>
  <c r="M231" i="27"/>
  <c r="L267" i="27" l="1"/>
  <c r="N231" i="27"/>
  <c r="M226" i="27"/>
  <c r="L108" i="27"/>
  <c r="M267" i="27" l="1"/>
  <c r="O231" i="27"/>
  <c r="N226" i="27"/>
  <c r="M108" i="27"/>
  <c r="O226" i="27" l="1"/>
  <c r="N108" i="27"/>
  <c r="N267" i="27"/>
  <c r="P231" i="27"/>
  <c r="O267" i="27" s="1"/>
  <c r="P226" i="27" l="1"/>
  <c r="O108" i="27"/>
  <c r="AI108" i="27" l="1"/>
  <c r="AH108" i="27"/>
  <c r="L111" i="26" l="1"/>
  <c r="K111" i="26"/>
  <c r="I48" i="26"/>
  <c r="J48" i="26"/>
  <c r="K48" i="26"/>
  <c r="L48" i="26"/>
  <c r="I52" i="26"/>
  <c r="J52" i="26"/>
  <c r="K52" i="26"/>
  <c r="L52" i="26"/>
  <c r="I66" i="26"/>
  <c r="J66" i="26"/>
  <c r="K66" i="26"/>
  <c r="L66" i="26"/>
  <c r="I70" i="26"/>
  <c r="I87" i="26" s="1"/>
  <c r="I89" i="26" s="1"/>
  <c r="I90" i="26" s="1"/>
  <c r="J70" i="26"/>
  <c r="K70" i="26"/>
  <c r="L70" i="26"/>
  <c r="I82" i="26"/>
  <c r="I98" i="26" s="1"/>
  <c r="J82" i="26"/>
  <c r="J98" i="26" s="1"/>
  <c r="K82" i="26"/>
  <c r="K98" i="26" s="1"/>
  <c r="L82" i="26"/>
  <c r="L98" i="26" s="1"/>
  <c r="I111" i="26"/>
  <c r="J111" i="26"/>
  <c r="H111" i="26"/>
  <c r="H48" i="26"/>
  <c r="H52" i="26"/>
  <c r="H66" i="26"/>
  <c r="H70" i="26"/>
  <c r="H82" i="26"/>
  <c r="H98" i="26" s="1"/>
  <c r="F111" i="26"/>
  <c r="F48" i="26"/>
  <c r="G48" i="26"/>
  <c r="F52" i="26"/>
  <c r="G52" i="26"/>
  <c r="F66" i="26"/>
  <c r="G66" i="26"/>
  <c r="F70" i="26"/>
  <c r="G70" i="26"/>
  <c r="F82" i="26"/>
  <c r="F98" i="26" s="1"/>
  <c r="G82" i="26"/>
  <c r="G98" i="26" s="1"/>
  <c r="C48" i="26"/>
  <c r="D48" i="26"/>
  <c r="E48" i="26"/>
  <c r="C52" i="26"/>
  <c r="D52" i="26"/>
  <c r="E52" i="26"/>
  <c r="C66" i="26"/>
  <c r="C87" i="26" s="1"/>
  <c r="C89" i="26" s="1"/>
  <c r="C90" i="26" s="1"/>
  <c r="D66" i="26"/>
  <c r="E66" i="26"/>
  <c r="C70" i="26"/>
  <c r="D70" i="26"/>
  <c r="E70" i="26"/>
  <c r="C82" i="26"/>
  <c r="C98" i="26" s="1"/>
  <c r="D82" i="26"/>
  <c r="C5" i="26" s="1"/>
  <c r="E82" i="26"/>
  <c r="E98" i="26" s="1"/>
  <c r="C108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D271" i="26"/>
  <c r="C271" i="26"/>
  <c r="B271" i="26"/>
  <c r="A271" i="26"/>
  <c r="AF270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S270" i="26"/>
  <c r="R270" i="26"/>
  <c r="Q270" i="26"/>
  <c r="P270" i="26"/>
  <c r="O270" i="26"/>
  <c r="N270" i="26"/>
  <c r="M270" i="26"/>
  <c r="L270" i="26"/>
  <c r="K270" i="26"/>
  <c r="J270" i="26"/>
  <c r="I270" i="26"/>
  <c r="H270" i="26"/>
  <c r="G270" i="26"/>
  <c r="F270" i="26"/>
  <c r="E270" i="26"/>
  <c r="D270" i="26"/>
  <c r="C270" i="26"/>
  <c r="B270" i="26"/>
  <c r="A270" i="26"/>
  <c r="AF269" i="26"/>
  <c r="AE269" i="26"/>
  <c r="AD269" i="26"/>
  <c r="AC269" i="26"/>
  <c r="AB269" i="26"/>
  <c r="AA269" i="26"/>
  <c r="Z269" i="26"/>
  <c r="Y269" i="26"/>
  <c r="X269" i="26"/>
  <c r="W269" i="26"/>
  <c r="V269" i="26"/>
  <c r="U269" i="26"/>
  <c r="T269" i="26"/>
  <c r="S269" i="26"/>
  <c r="R269" i="26"/>
  <c r="Q269" i="26"/>
  <c r="P269" i="26"/>
  <c r="O269" i="26"/>
  <c r="N269" i="26"/>
  <c r="M269" i="26"/>
  <c r="L269" i="26"/>
  <c r="K269" i="26"/>
  <c r="J269" i="26"/>
  <c r="I269" i="26"/>
  <c r="H269" i="26"/>
  <c r="G269" i="26"/>
  <c r="F269" i="26"/>
  <c r="E269" i="26"/>
  <c r="D269" i="26"/>
  <c r="C269" i="26"/>
  <c r="B269" i="26"/>
  <c r="A269" i="26"/>
  <c r="AF268" i="26"/>
  <c r="AE268" i="26"/>
  <c r="AD268" i="26"/>
  <c r="AC268" i="26"/>
  <c r="AB268" i="26"/>
  <c r="AA268" i="26"/>
  <c r="Z268" i="26"/>
  <c r="Y268" i="26"/>
  <c r="X268" i="26"/>
  <c r="W268" i="26"/>
  <c r="V268" i="26"/>
  <c r="U268" i="26"/>
  <c r="T268" i="26"/>
  <c r="S268" i="26"/>
  <c r="R268" i="26"/>
  <c r="Q268" i="26"/>
  <c r="P268" i="26"/>
  <c r="O268" i="26"/>
  <c r="N268" i="26"/>
  <c r="M268" i="26"/>
  <c r="L268" i="26"/>
  <c r="K268" i="26"/>
  <c r="J268" i="26"/>
  <c r="I268" i="26"/>
  <c r="H268" i="26"/>
  <c r="G268" i="26"/>
  <c r="F268" i="26"/>
  <c r="E268" i="26"/>
  <c r="D268" i="26"/>
  <c r="C268" i="26"/>
  <c r="B268" i="26"/>
  <c r="A268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B267" i="26"/>
  <c r="S242" i="26"/>
  <c r="AG232" i="26"/>
  <c r="AG65" i="26" s="1"/>
  <c r="AG66" i="26" s="1"/>
  <c r="AG3" i="26" s="1"/>
  <c r="AF232" i="26"/>
  <c r="AE232" i="26"/>
  <c r="AD232" i="26"/>
  <c r="AC232" i="26"/>
  <c r="AB232" i="26"/>
  <c r="AA232" i="26"/>
  <c r="Z232" i="26"/>
  <c r="Y232" i="26"/>
  <c r="X232" i="26"/>
  <c r="W232" i="26"/>
  <c r="V232" i="26"/>
  <c r="U232" i="26"/>
  <c r="T232" i="26"/>
  <c r="S232" i="26"/>
  <c r="R232" i="26"/>
  <c r="Q232" i="26"/>
  <c r="C232" i="26"/>
  <c r="D231" i="26"/>
  <c r="E231" i="26" s="1"/>
  <c r="B231" i="26"/>
  <c r="AF267" i="26" s="1"/>
  <c r="D230" i="26"/>
  <c r="E230" i="26" s="1"/>
  <c r="F230" i="26" s="1"/>
  <c r="G230" i="26" s="1"/>
  <c r="H230" i="26" s="1"/>
  <c r="I230" i="26" s="1"/>
  <c r="J230" i="26" s="1"/>
  <c r="K230" i="26" s="1"/>
  <c r="L230" i="26" s="1"/>
  <c r="M230" i="26" s="1"/>
  <c r="N230" i="26" s="1"/>
  <c r="O230" i="26" s="1"/>
  <c r="P230" i="26" s="1"/>
  <c r="B230" i="26"/>
  <c r="D229" i="26"/>
  <c r="E229" i="26" s="1"/>
  <c r="F229" i="26" s="1"/>
  <c r="G229" i="26" s="1"/>
  <c r="H229" i="26" s="1"/>
  <c r="I229" i="26" s="1"/>
  <c r="B229" i="26"/>
  <c r="D228" i="26"/>
  <c r="E228" i="26" s="1"/>
  <c r="F228" i="26" s="1"/>
  <c r="G228" i="26" s="1"/>
  <c r="H228" i="26" s="1"/>
  <c r="B228" i="26"/>
  <c r="E227" i="26"/>
  <c r="F227" i="26" s="1"/>
  <c r="G227" i="26" s="1"/>
  <c r="H227" i="26" s="1"/>
  <c r="I227" i="26" s="1"/>
  <c r="J227" i="26" s="1"/>
  <c r="K227" i="26" s="1"/>
  <c r="L227" i="26" s="1"/>
  <c r="M227" i="26" s="1"/>
  <c r="N227" i="26" s="1"/>
  <c r="O227" i="26" s="1"/>
  <c r="P227" i="26" s="1"/>
  <c r="D227" i="26"/>
  <c r="B227" i="26"/>
  <c r="D226" i="26"/>
  <c r="B226" i="26"/>
  <c r="AG224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T224" i="26"/>
  <c r="S224" i="26"/>
  <c r="R224" i="26"/>
  <c r="Q224" i="26"/>
  <c r="P224" i="26"/>
  <c r="O224" i="26"/>
  <c r="N224" i="26"/>
  <c r="M224" i="26"/>
  <c r="L224" i="26"/>
  <c r="K224" i="26"/>
  <c r="J224" i="26"/>
  <c r="I224" i="26"/>
  <c r="H224" i="26"/>
  <c r="G224" i="26"/>
  <c r="F224" i="26"/>
  <c r="E224" i="26"/>
  <c r="D224" i="26"/>
  <c r="C224" i="26"/>
  <c r="B224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I110" i="26"/>
  <c r="AH110" i="26"/>
  <c r="AI109" i="26"/>
  <c r="AH109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B108" i="26"/>
  <c r="AI107" i="26"/>
  <c r="AH107" i="26"/>
  <c r="AI106" i="26"/>
  <c r="AH106" i="26"/>
  <c r="AI105" i="26"/>
  <c r="AH105" i="26"/>
  <c r="AI104" i="26"/>
  <c r="AH104" i="26"/>
  <c r="AI103" i="26"/>
  <c r="AH103" i="26"/>
  <c r="AI102" i="26"/>
  <c r="AH102" i="26"/>
  <c r="AI101" i="26"/>
  <c r="AH101" i="26"/>
  <c r="AI100" i="26"/>
  <c r="AH100" i="26"/>
  <c r="AI99" i="26"/>
  <c r="AH99" i="26"/>
  <c r="AI97" i="26"/>
  <c r="AH97" i="26"/>
  <c r="AI96" i="26"/>
  <c r="AH96" i="26"/>
  <c r="AI95" i="26"/>
  <c r="AH95" i="26"/>
  <c r="AI94" i="26"/>
  <c r="AH94" i="26"/>
  <c r="AI93" i="26"/>
  <c r="AH93" i="26"/>
  <c r="AI92" i="26"/>
  <c r="AH92" i="26"/>
  <c r="AI91" i="26"/>
  <c r="AH91" i="26"/>
  <c r="AI88" i="26"/>
  <c r="AH88" i="26"/>
  <c r="AI86" i="26"/>
  <c r="AH86" i="26"/>
  <c r="AG86" i="26"/>
  <c r="AI85" i="26"/>
  <c r="AH85" i="26"/>
  <c r="AI84" i="26"/>
  <c r="AH84" i="26"/>
  <c r="AI83" i="26"/>
  <c r="AH83" i="26"/>
  <c r="AN82" i="26"/>
  <c r="AG82" i="26"/>
  <c r="AF82" i="26"/>
  <c r="AF98" i="26" s="1"/>
  <c r="AE82" i="26"/>
  <c r="AE98" i="26" s="1"/>
  <c r="AD98" i="26"/>
  <c r="AC82" i="26"/>
  <c r="AC98" i="26" s="1"/>
  <c r="AB82" i="26"/>
  <c r="AB98" i="26" s="1"/>
  <c r="AA82" i="26"/>
  <c r="AA98" i="26" s="1"/>
  <c r="Z82" i="26"/>
  <c r="Z98" i="26" s="1"/>
  <c r="Y82" i="26"/>
  <c r="Y98" i="26" s="1"/>
  <c r="X82" i="26"/>
  <c r="X98" i="26" s="1"/>
  <c r="W82" i="26"/>
  <c r="W98" i="26" s="1"/>
  <c r="V82" i="26"/>
  <c r="V98" i="26" s="1"/>
  <c r="U82" i="26"/>
  <c r="U98" i="26" s="1"/>
  <c r="T82" i="26"/>
  <c r="T98" i="26" s="1"/>
  <c r="S82" i="26"/>
  <c r="S98" i="26" s="1"/>
  <c r="R82" i="26"/>
  <c r="R98" i="26" s="1"/>
  <c r="Q82" i="26"/>
  <c r="Q98" i="26" s="1"/>
  <c r="P82" i="26"/>
  <c r="P98" i="26" s="1"/>
  <c r="O82" i="26"/>
  <c r="O98" i="26" s="1"/>
  <c r="N82" i="26"/>
  <c r="N98" i="26" s="1"/>
  <c r="M82" i="26"/>
  <c r="M98" i="26" s="1"/>
  <c r="B82" i="26"/>
  <c r="B98" i="26" s="1"/>
  <c r="AI81" i="26"/>
  <c r="AH81" i="26"/>
  <c r="AN80" i="26"/>
  <c r="AI80" i="26"/>
  <c r="AH80" i="26"/>
  <c r="AN79" i="26"/>
  <c r="AN81" i="26" s="1"/>
  <c r="AI79" i="26"/>
  <c r="AH79" i="26"/>
  <c r="AI78" i="26"/>
  <c r="AH78" i="26"/>
  <c r="AI77" i="26"/>
  <c r="AH77" i="26"/>
  <c r="AI76" i="26"/>
  <c r="AH76" i="26"/>
  <c r="AI75" i="26"/>
  <c r="AH75" i="26"/>
  <c r="AI74" i="26"/>
  <c r="AH74" i="26"/>
  <c r="AI73" i="26"/>
  <c r="AH73" i="26"/>
  <c r="AI72" i="26"/>
  <c r="AH72" i="26"/>
  <c r="AI71" i="26"/>
  <c r="AH71" i="26"/>
  <c r="AG70" i="26"/>
  <c r="AF70" i="26"/>
  <c r="AE70" i="26"/>
  <c r="AC70" i="26"/>
  <c r="AB70" i="26"/>
  <c r="AA70" i="26"/>
  <c r="Z70" i="26"/>
  <c r="Y70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B70" i="26"/>
  <c r="AI69" i="26"/>
  <c r="AH69" i="26"/>
  <c r="AI68" i="26"/>
  <c r="AH68" i="26"/>
  <c r="AI67" i="26"/>
  <c r="AH67" i="26"/>
  <c r="AF66" i="26"/>
  <c r="AE66" i="26"/>
  <c r="AC66" i="26"/>
  <c r="AB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B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G52" i="26"/>
  <c r="AF52" i="26"/>
  <c r="AE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B52" i="26"/>
  <c r="AI51" i="26"/>
  <c r="AH51" i="26"/>
  <c r="AI50" i="26"/>
  <c r="AH50" i="26"/>
  <c r="AI49" i="26"/>
  <c r="AH49" i="26"/>
  <c r="AG48" i="26"/>
  <c r="AF48" i="26"/>
  <c r="AE48" i="26"/>
  <c r="AC48" i="26"/>
  <c r="AB48" i="26"/>
  <c r="AA48" i="26"/>
  <c r="Z48" i="26"/>
  <c r="Y48" i="26"/>
  <c r="X48" i="26"/>
  <c r="W48" i="26"/>
  <c r="V48" i="26"/>
  <c r="U48" i="26"/>
  <c r="T48" i="26"/>
  <c r="S48" i="26"/>
  <c r="R48" i="26"/>
  <c r="Q48" i="26"/>
  <c r="P48" i="26"/>
  <c r="O48" i="26"/>
  <c r="N48" i="26"/>
  <c r="M48" i="26"/>
  <c r="B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C5" i="26"/>
  <c r="Y5" i="26"/>
  <c r="Q5" i="26"/>
  <c r="H5" i="26"/>
  <c r="G5" i="26"/>
  <c r="AG4" i="26"/>
  <c r="K4" i="26"/>
  <c r="E4" i="26"/>
  <c r="H4" i="26" s="1"/>
  <c r="B4" i="26"/>
  <c r="S243" i="26" s="1"/>
  <c r="AG2" i="26"/>
  <c r="AB111" i="25"/>
  <c r="F231" i="26" l="1"/>
  <c r="D267" i="26"/>
  <c r="D87" i="26"/>
  <c r="D89" i="26" s="1"/>
  <c r="D90" i="26" s="1"/>
  <c r="S87" i="26"/>
  <c r="S89" i="26" s="1"/>
  <c r="S90" i="26" s="1"/>
  <c r="D232" i="26"/>
  <c r="C267" i="26"/>
  <c r="AG6" i="26"/>
  <c r="B232" i="26"/>
  <c r="E5" i="26"/>
  <c r="E226" i="26"/>
  <c r="D108" i="26"/>
  <c r="AE5" i="26"/>
  <c r="AF87" i="26"/>
  <c r="AF89" i="26" s="1"/>
  <c r="AF90" i="26" s="1"/>
  <c r="AD5" i="26"/>
  <c r="AE87" i="26"/>
  <c r="AE89" i="26" s="1"/>
  <c r="AW246" i="26" s="1"/>
  <c r="AB5" i="26"/>
  <c r="AC87" i="26"/>
  <c r="AC89" i="26" s="1"/>
  <c r="AU246" i="26" s="1"/>
  <c r="AA5" i="26"/>
  <c r="AB87" i="26"/>
  <c r="AB89" i="26" s="1"/>
  <c r="AB90" i="26" s="1"/>
  <c r="Z5" i="26"/>
  <c r="AA87" i="26"/>
  <c r="AA89" i="26" s="1"/>
  <c r="AA90" i="26" s="1"/>
  <c r="X5" i="26"/>
  <c r="Z87" i="26"/>
  <c r="Z89" i="26" s="1"/>
  <c r="Z90" i="26" s="1"/>
  <c r="Y87" i="26"/>
  <c r="Y89" i="26" s="1"/>
  <c r="Y90" i="26" s="1"/>
  <c r="W5" i="26"/>
  <c r="X87" i="26"/>
  <c r="X89" i="26" s="1"/>
  <c r="X90" i="26" s="1"/>
  <c r="U5" i="26"/>
  <c r="V5" i="26"/>
  <c r="W87" i="26"/>
  <c r="W89" i="26" s="1"/>
  <c r="W7" i="26" s="1"/>
  <c r="V87" i="26"/>
  <c r="V89" i="26" s="1"/>
  <c r="AN246" i="26" s="1"/>
  <c r="U87" i="26"/>
  <c r="U89" i="26" s="1"/>
  <c r="T5" i="26"/>
  <c r="S5" i="26"/>
  <c r="T87" i="26"/>
  <c r="T89" i="26" s="1"/>
  <c r="T90" i="26" s="1"/>
  <c r="R5" i="26"/>
  <c r="R87" i="26"/>
  <c r="R89" i="26" s="1"/>
  <c r="R90" i="26" s="1"/>
  <c r="P5" i="26"/>
  <c r="Q87" i="26"/>
  <c r="Q89" i="26" s="1"/>
  <c r="O5" i="26"/>
  <c r="P87" i="26"/>
  <c r="P89" i="26" s="1"/>
  <c r="N5" i="26"/>
  <c r="O87" i="26"/>
  <c r="O89" i="26" s="1"/>
  <c r="O90" i="26" s="1"/>
  <c r="M5" i="26"/>
  <c r="N87" i="26"/>
  <c r="N89" i="26" s="1"/>
  <c r="AF246" i="26" s="1"/>
  <c r="M87" i="26"/>
  <c r="M89" i="26" s="1"/>
  <c r="AE246" i="26" s="1"/>
  <c r="L5" i="26"/>
  <c r="AI70" i="26"/>
  <c r="K5" i="26"/>
  <c r="AI111" i="26"/>
  <c r="J5" i="26"/>
  <c r="I5" i="26"/>
  <c r="L87" i="26"/>
  <c r="L89" i="26" s="1"/>
  <c r="L90" i="26" s="1"/>
  <c r="J87" i="26"/>
  <c r="J89" i="26" s="1"/>
  <c r="J90" i="26" s="1"/>
  <c r="K87" i="26"/>
  <c r="K89" i="26" s="1"/>
  <c r="K90" i="26" s="1"/>
  <c r="H87" i="26"/>
  <c r="H89" i="26" s="1"/>
  <c r="H90" i="26" s="1"/>
  <c r="AH111" i="26"/>
  <c r="F5" i="26"/>
  <c r="G87" i="26"/>
  <c r="G89" i="26" s="1"/>
  <c r="G90" i="26" s="1"/>
  <c r="F87" i="26"/>
  <c r="F89" i="26" s="1"/>
  <c r="F90" i="26" s="1"/>
  <c r="AH66" i="26"/>
  <c r="AI52" i="26"/>
  <c r="E87" i="26"/>
  <c r="E89" i="26" s="1"/>
  <c r="E90" i="26" s="1"/>
  <c r="D5" i="26"/>
  <c r="D98" i="26"/>
  <c r="B5" i="26"/>
  <c r="AF5" i="26"/>
  <c r="AI66" i="26"/>
  <c r="B87" i="26"/>
  <c r="D7" i="26"/>
  <c r="U7" i="26"/>
  <c r="AM246" i="26"/>
  <c r="U90" i="26"/>
  <c r="F7" i="26"/>
  <c r="V7" i="26"/>
  <c r="AD7" i="26"/>
  <c r="AV246" i="26"/>
  <c r="AG246" i="26"/>
  <c r="AG89" i="26"/>
  <c r="E7" i="26"/>
  <c r="W246" i="26"/>
  <c r="H7" i="26"/>
  <c r="Z246" i="26"/>
  <c r="AI98" i="26"/>
  <c r="AH98" i="26"/>
  <c r="J229" i="26"/>
  <c r="K229" i="26" s="1"/>
  <c r="L229" i="26" s="1"/>
  <c r="M229" i="26" s="1"/>
  <c r="N229" i="26" s="1"/>
  <c r="O229" i="26" s="1"/>
  <c r="P229" i="26" s="1"/>
  <c r="P90" i="26"/>
  <c r="P7" i="26"/>
  <c r="AH246" i="26"/>
  <c r="I7" i="26"/>
  <c r="AA246" i="26"/>
  <c r="Q90" i="26"/>
  <c r="Q7" i="26"/>
  <c r="AI246" i="26"/>
  <c r="Y7" i="26"/>
  <c r="AQ246" i="26"/>
  <c r="AG87" i="26"/>
  <c r="G7" i="26"/>
  <c r="J7" i="26"/>
  <c r="C7" i="26"/>
  <c r="U246" i="26"/>
  <c r="S7" i="26"/>
  <c r="AK246" i="26"/>
  <c r="AH70" i="26"/>
  <c r="E232" i="26"/>
  <c r="D243" i="26"/>
  <c r="AH82" i="26"/>
  <c r="AH48" i="26"/>
  <c r="AH52" i="26"/>
  <c r="AI82" i="26"/>
  <c r="AI48" i="26"/>
  <c r="M90" i="26" l="1"/>
  <c r="F226" i="26"/>
  <c r="E108" i="26"/>
  <c r="M7" i="26"/>
  <c r="AF7" i="26"/>
  <c r="AL246" i="26"/>
  <c r="AX246" i="26"/>
  <c r="AJ246" i="26"/>
  <c r="T7" i="26"/>
  <c r="E267" i="26"/>
  <c r="G231" i="26"/>
  <c r="R7" i="26"/>
  <c r="X246" i="26"/>
  <c r="V246" i="26"/>
  <c r="AE7" i="26"/>
  <c r="AE90" i="26"/>
  <c r="AC90" i="26"/>
  <c r="AC7" i="26"/>
  <c r="AT246" i="26"/>
  <c r="AB7" i="26"/>
  <c r="AS246" i="26"/>
  <c r="AA7" i="26"/>
  <c r="Z7" i="26"/>
  <c r="AR246" i="26"/>
  <c r="AP246" i="26"/>
  <c r="X7" i="26"/>
  <c r="V90" i="26"/>
  <c r="W90" i="26"/>
  <c r="AO246" i="26"/>
  <c r="O7" i="26"/>
  <c r="N7" i="26"/>
  <c r="AH87" i="26"/>
  <c r="N90" i="26"/>
  <c r="AD246" i="26"/>
  <c r="L7" i="26"/>
  <c r="C241" i="26"/>
  <c r="K6" i="26" s="1"/>
  <c r="AB246" i="26"/>
  <c r="B241" i="26"/>
  <c r="K7" i="26"/>
  <c r="AC246" i="26"/>
  <c r="Y246" i="26"/>
  <c r="AI87" i="26"/>
  <c r="B89" i="26"/>
  <c r="B90" i="26" s="1"/>
  <c r="AI89" i="26"/>
  <c r="AH89" i="26"/>
  <c r="B7" i="26"/>
  <c r="T246" i="26"/>
  <c r="F267" i="26" l="1"/>
  <c r="H231" i="26"/>
  <c r="G226" i="26"/>
  <c r="F108" i="26"/>
  <c r="F232" i="26"/>
  <c r="A7" i="26"/>
  <c r="AI90" i="26"/>
  <c r="AH90" i="26"/>
  <c r="G108" i="26" l="1"/>
  <c r="G232" i="26"/>
  <c r="H226" i="26"/>
  <c r="G267" i="26"/>
  <c r="I231" i="26"/>
  <c r="H267" i="26" l="1"/>
  <c r="J231" i="26"/>
  <c r="H108" i="26"/>
  <c r="I226" i="26"/>
  <c r="H232" i="26"/>
  <c r="K231" i="26" l="1"/>
  <c r="I267" i="26"/>
  <c r="I108" i="26"/>
  <c r="J226" i="26"/>
  <c r="J108" i="26" l="1"/>
  <c r="K226" i="26"/>
  <c r="J267" i="26"/>
  <c r="L231" i="26"/>
  <c r="K267" i="26" l="1"/>
  <c r="M231" i="26"/>
  <c r="K108" i="26"/>
  <c r="L226" i="26"/>
  <c r="L108" i="26" l="1"/>
  <c r="M226" i="26"/>
  <c r="L267" i="26"/>
  <c r="N231" i="26"/>
  <c r="O231" i="26" l="1"/>
  <c r="M267" i="26"/>
  <c r="M108" i="26"/>
  <c r="N226" i="26"/>
  <c r="O226" i="26" l="1"/>
  <c r="N108" i="26"/>
  <c r="P231" i="26"/>
  <c r="O267" i="26" s="1"/>
  <c r="N267" i="26"/>
  <c r="P226" i="26" l="1"/>
  <c r="O108" i="26"/>
  <c r="AF271" i="25"/>
  <c r="AE271" i="25"/>
  <c r="AD271" i="25"/>
  <c r="AC271" i="25"/>
  <c r="AB271" i="25"/>
  <c r="AA271" i="25"/>
  <c r="Z271" i="25"/>
  <c r="Y271" i="25"/>
  <c r="X271" i="25"/>
  <c r="W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F270" i="25"/>
  <c r="AE270" i="25"/>
  <c r="AD270" i="25"/>
  <c r="AC270" i="25"/>
  <c r="AB270" i="25"/>
  <c r="AA270" i="25"/>
  <c r="Z270" i="25"/>
  <c r="Y270" i="25"/>
  <c r="X270" i="25"/>
  <c r="W270" i="25"/>
  <c r="V270" i="25"/>
  <c r="U270" i="25"/>
  <c r="T270" i="25"/>
  <c r="S270" i="25"/>
  <c r="R270" i="25"/>
  <c r="Q270" i="25"/>
  <c r="P270" i="25"/>
  <c r="O270" i="25"/>
  <c r="N270" i="25"/>
  <c r="M270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AF269" i="25"/>
  <c r="AE269" i="25"/>
  <c r="AD269" i="25"/>
  <c r="AC269" i="25"/>
  <c r="AB269" i="25"/>
  <c r="AA269" i="25"/>
  <c r="Z269" i="25"/>
  <c r="Y269" i="25"/>
  <c r="X269" i="25"/>
  <c r="W269" i="25"/>
  <c r="V269" i="25"/>
  <c r="U269" i="25"/>
  <c r="T269" i="25"/>
  <c r="S269" i="25"/>
  <c r="R269" i="25"/>
  <c r="Q269" i="25"/>
  <c r="P269" i="25"/>
  <c r="O269" i="25"/>
  <c r="N269" i="25"/>
  <c r="M269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AF268" i="25"/>
  <c r="AE268" i="25"/>
  <c r="AD268" i="25"/>
  <c r="AC268" i="25"/>
  <c r="AB268" i="25"/>
  <c r="AA268" i="25"/>
  <c r="Z268" i="25"/>
  <c r="Y268" i="25"/>
  <c r="X268" i="25"/>
  <c r="W268" i="25"/>
  <c r="V268" i="25"/>
  <c r="U268" i="25"/>
  <c r="T268" i="25"/>
  <c r="S268" i="25"/>
  <c r="R268" i="25"/>
  <c r="Q268" i="25"/>
  <c r="P268" i="25"/>
  <c r="O268" i="25"/>
  <c r="N268" i="25"/>
  <c r="M268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AE267" i="25"/>
  <c r="AD267" i="25"/>
  <c r="AC267" i="25"/>
  <c r="AB267" i="25"/>
  <c r="AA267" i="25"/>
  <c r="Z267" i="25"/>
  <c r="Y267" i="25"/>
  <c r="X267" i="25"/>
  <c r="W267" i="25"/>
  <c r="V267" i="25"/>
  <c r="U267" i="25"/>
  <c r="T267" i="25"/>
  <c r="S267" i="25"/>
  <c r="R267" i="25"/>
  <c r="Q267" i="25"/>
  <c r="P267" i="25"/>
  <c r="B267" i="25"/>
  <c r="S242" i="25"/>
  <c r="AG232" i="25"/>
  <c r="AF232" i="25"/>
  <c r="AE232" i="25"/>
  <c r="AD232" i="25"/>
  <c r="AC232" i="25"/>
  <c r="AB232" i="25"/>
  <c r="AA232" i="25"/>
  <c r="Z232" i="25"/>
  <c r="Y232" i="25"/>
  <c r="X232" i="25"/>
  <c r="W232" i="25"/>
  <c r="V232" i="25"/>
  <c r="U232" i="25"/>
  <c r="T232" i="25"/>
  <c r="S232" i="25"/>
  <c r="R232" i="25"/>
  <c r="Q232" i="25"/>
  <c r="C232" i="25"/>
  <c r="D231" i="25"/>
  <c r="C267" i="25" s="1"/>
  <c r="B231" i="25"/>
  <c r="AF267" i="25" s="1"/>
  <c r="D230" i="25"/>
  <c r="E230" i="25" s="1"/>
  <c r="F230" i="25" s="1"/>
  <c r="G230" i="25" s="1"/>
  <c r="H230" i="25" s="1"/>
  <c r="I230" i="25" s="1"/>
  <c r="J230" i="25" s="1"/>
  <c r="K230" i="25" s="1"/>
  <c r="L230" i="25" s="1"/>
  <c r="M230" i="25" s="1"/>
  <c r="N230" i="25" s="1"/>
  <c r="O230" i="25" s="1"/>
  <c r="P230" i="25" s="1"/>
  <c r="B230" i="25"/>
  <c r="D229" i="25"/>
  <c r="E229" i="25" s="1"/>
  <c r="F229" i="25" s="1"/>
  <c r="G229" i="25" s="1"/>
  <c r="H229" i="25" s="1"/>
  <c r="I229" i="25" s="1"/>
  <c r="B229" i="25"/>
  <c r="D228" i="25"/>
  <c r="E228" i="25" s="1"/>
  <c r="F228" i="25" s="1"/>
  <c r="G228" i="25" s="1"/>
  <c r="H228" i="25" s="1"/>
  <c r="B228" i="25"/>
  <c r="D227" i="25"/>
  <c r="E227" i="25" s="1"/>
  <c r="F227" i="25" s="1"/>
  <c r="G227" i="25" s="1"/>
  <c r="H227" i="25" s="1"/>
  <c r="I227" i="25" s="1"/>
  <c r="J227" i="25" s="1"/>
  <c r="K227" i="25" s="1"/>
  <c r="L227" i="25" s="1"/>
  <c r="M227" i="25" s="1"/>
  <c r="N227" i="25" s="1"/>
  <c r="O227" i="25" s="1"/>
  <c r="P227" i="25" s="1"/>
  <c r="B227" i="25"/>
  <c r="D226" i="25"/>
  <c r="B226" i="25"/>
  <c r="AG224" i="25"/>
  <c r="AF224" i="25"/>
  <c r="AE224" i="25"/>
  <c r="AD224" i="25"/>
  <c r="AC224" i="25"/>
  <c r="AB224" i="25"/>
  <c r="AA224" i="25"/>
  <c r="Z224" i="25"/>
  <c r="Y224" i="25"/>
  <c r="X224" i="25"/>
  <c r="W224" i="25"/>
  <c r="V224" i="25"/>
  <c r="U224" i="25"/>
  <c r="T224" i="25"/>
  <c r="S224" i="25"/>
  <c r="R224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C224" i="25"/>
  <c r="B224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C108" i="25"/>
  <c r="AI107" i="25"/>
  <c r="AH107" i="25"/>
  <c r="AI106" i="25"/>
  <c r="AH106" i="25"/>
  <c r="AI105" i="25"/>
  <c r="AH105" i="25"/>
  <c r="AI104" i="25"/>
  <c r="AH104" i="25"/>
  <c r="AI103" i="25"/>
  <c r="AH103" i="25"/>
  <c r="AI102" i="25"/>
  <c r="AH102" i="25"/>
  <c r="AI101" i="25"/>
  <c r="AH101" i="25"/>
  <c r="AI100" i="25"/>
  <c r="AH100" i="25"/>
  <c r="AI99" i="25"/>
  <c r="AH99" i="25"/>
  <c r="AI97" i="25"/>
  <c r="AH97" i="25"/>
  <c r="AI96" i="25"/>
  <c r="AH96" i="25"/>
  <c r="AI95" i="25"/>
  <c r="AH95" i="25"/>
  <c r="AI94" i="25"/>
  <c r="AH94" i="25"/>
  <c r="AI93" i="25"/>
  <c r="AH93" i="25"/>
  <c r="AI92" i="25"/>
  <c r="AH92" i="25"/>
  <c r="AI91" i="25"/>
  <c r="AH91" i="25"/>
  <c r="AI88" i="25"/>
  <c r="AH88" i="25"/>
  <c r="AI86" i="25"/>
  <c r="AH86" i="25"/>
  <c r="AG86" i="25"/>
  <c r="AI85" i="25"/>
  <c r="AH85" i="25"/>
  <c r="AI84" i="25"/>
  <c r="AH84" i="25"/>
  <c r="AI83" i="25"/>
  <c r="AH83" i="25"/>
  <c r="AN82" i="25"/>
  <c r="AG82" i="25"/>
  <c r="AF82" i="25"/>
  <c r="AF98" i="25" s="1"/>
  <c r="AE82" i="25"/>
  <c r="AE98" i="25" s="1"/>
  <c r="AD82" i="25"/>
  <c r="AD98" i="25" s="1"/>
  <c r="AC82" i="25"/>
  <c r="AC98" i="25" s="1"/>
  <c r="AB82" i="25"/>
  <c r="AB98" i="25" s="1"/>
  <c r="AA82" i="25"/>
  <c r="AA98" i="25" s="1"/>
  <c r="Z82" i="25"/>
  <c r="Z98" i="25" s="1"/>
  <c r="Y82" i="25"/>
  <c r="Y98" i="25" s="1"/>
  <c r="X82" i="25"/>
  <c r="X98" i="25" s="1"/>
  <c r="W82" i="25"/>
  <c r="W98" i="25" s="1"/>
  <c r="V82" i="25"/>
  <c r="V98" i="25" s="1"/>
  <c r="U82" i="25"/>
  <c r="U98" i="25" s="1"/>
  <c r="T82" i="25"/>
  <c r="T98" i="25" s="1"/>
  <c r="S82" i="25"/>
  <c r="S98" i="25" s="1"/>
  <c r="R82" i="25"/>
  <c r="R98" i="25" s="1"/>
  <c r="Q82" i="25"/>
  <c r="Q98" i="25" s="1"/>
  <c r="P82" i="25"/>
  <c r="P98" i="25" s="1"/>
  <c r="O82" i="25"/>
  <c r="O98" i="25" s="1"/>
  <c r="N82" i="25"/>
  <c r="N98" i="25" s="1"/>
  <c r="M82" i="25"/>
  <c r="M98" i="25" s="1"/>
  <c r="L82" i="25"/>
  <c r="L98" i="25" s="1"/>
  <c r="K82" i="25"/>
  <c r="K98" i="25" s="1"/>
  <c r="J82" i="25"/>
  <c r="J98" i="25" s="1"/>
  <c r="I82" i="25"/>
  <c r="I98" i="25" s="1"/>
  <c r="H82" i="25"/>
  <c r="H98" i="25" s="1"/>
  <c r="G82" i="25"/>
  <c r="G98" i="25" s="1"/>
  <c r="F82" i="25"/>
  <c r="F98" i="25" s="1"/>
  <c r="E82" i="25"/>
  <c r="E98" i="25" s="1"/>
  <c r="D82" i="25"/>
  <c r="D98" i="25" s="1"/>
  <c r="C82" i="25"/>
  <c r="C98" i="25" s="1"/>
  <c r="B82" i="25"/>
  <c r="B98" i="25" s="1"/>
  <c r="AI81" i="25"/>
  <c r="AH81" i="25"/>
  <c r="AN80" i="25"/>
  <c r="AI80" i="25"/>
  <c r="AH80" i="25"/>
  <c r="AN79" i="25"/>
  <c r="AI79" i="25"/>
  <c r="AH79" i="25"/>
  <c r="AI78" i="25"/>
  <c r="AH78" i="25"/>
  <c r="AI77" i="25"/>
  <c r="AH77" i="25"/>
  <c r="AI76" i="25"/>
  <c r="AH76" i="25"/>
  <c r="AI75" i="25"/>
  <c r="AH75" i="25"/>
  <c r="AI74" i="25"/>
  <c r="AH74" i="25"/>
  <c r="AI73" i="25"/>
  <c r="AH73" i="25"/>
  <c r="AI72" i="25"/>
  <c r="AH72" i="25"/>
  <c r="AI71" i="25"/>
  <c r="AH71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B70" i="25"/>
  <c r="AI69" i="25"/>
  <c r="AH69" i="25"/>
  <c r="AI68" i="25"/>
  <c r="AH68" i="25"/>
  <c r="AI67" i="25"/>
  <c r="AH67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AI65" i="25"/>
  <c r="AH65" i="25"/>
  <c r="AG65" i="25"/>
  <c r="AG66" i="25" s="1"/>
  <c r="AG3" i="25" s="1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I51" i="25"/>
  <c r="AH51" i="25"/>
  <c r="AI50" i="25"/>
  <c r="AH50" i="25"/>
  <c r="AI49" i="25"/>
  <c r="AH49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W5" i="25"/>
  <c r="R5" i="25"/>
  <c r="G5" i="25"/>
  <c r="AG4" i="25"/>
  <c r="K4" i="25"/>
  <c r="E4" i="25"/>
  <c r="H4" i="25" s="1"/>
  <c r="B4" i="25"/>
  <c r="S243" i="25" s="1"/>
  <c r="AG2" i="25"/>
  <c r="AA111" i="24"/>
  <c r="AA48" i="24"/>
  <c r="AA52" i="24"/>
  <c r="AA66" i="24"/>
  <c r="AA70" i="24"/>
  <c r="AA82" i="24"/>
  <c r="X111" i="24"/>
  <c r="W111" i="24"/>
  <c r="U111" i="24"/>
  <c r="V111" i="24"/>
  <c r="T111" i="24"/>
  <c r="S111" i="24"/>
  <c r="B108" i="25" l="1"/>
  <c r="D108" i="25"/>
  <c r="AG6" i="25"/>
  <c r="AI108" i="26"/>
  <c r="AH108" i="26"/>
  <c r="AG87" i="25"/>
  <c r="AN81" i="25"/>
  <c r="AE5" i="25"/>
  <c r="D232" i="25"/>
  <c r="B232" i="25"/>
  <c r="AF87" i="25"/>
  <c r="AF89" i="25" s="1"/>
  <c r="AF7" i="25" s="1"/>
  <c r="AE87" i="25"/>
  <c r="AE89" i="25" s="1"/>
  <c r="AW246" i="25" s="1"/>
  <c r="AD5" i="25"/>
  <c r="AC5" i="25"/>
  <c r="AD87" i="25"/>
  <c r="AD89" i="25" s="1"/>
  <c r="AV246" i="25" s="1"/>
  <c r="AB5" i="25"/>
  <c r="AC87" i="25"/>
  <c r="AC89" i="25" s="1"/>
  <c r="AC7" i="25" s="1"/>
  <c r="AA5" i="25"/>
  <c r="AB87" i="25"/>
  <c r="AB89" i="25" s="1"/>
  <c r="AB7" i="25" s="1"/>
  <c r="Z5" i="25"/>
  <c r="AA87" i="25"/>
  <c r="AA89" i="25" s="1"/>
  <c r="AA7" i="25" s="1"/>
  <c r="Y5" i="25"/>
  <c r="Z87" i="25"/>
  <c r="Z89" i="25" s="1"/>
  <c r="Z90" i="25" s="1"/>
  <c r="X5" i="25"/>
  <c r="Y87" i="25"/>
  <c r="Y89" i="25" s="1"/>
  <c r="Y90" i="25" s="1"/>
  <c r="X87" i="25"/>
  <c r="X89" i="25" s="1"/>
  <c r="X90" i="25" s="1"/>
  <c r="V5" i="25"/>
  <c r="W87" i="25"/>
  <c r="W89" i="25" s="1"/>
  <c r="AO246" i="25" s="1"/>
  <c r="U5" i="25"/>
  <c r="V87" i="25"/>
  <c r="V89" i="25" s="1"/>
  <c r="V90" i="25" s="1"/>
  <c r="T5" i="25"/>
  <c r="U87" i="25"/>
  <c r="U89" i="25" s="1"/>
  <c r="AM246" i="25" s="1"/>
  <c r="S5" i="25"/>
  <c r="T87" i="25"/>
  <c r="T89" i="25" s="1"/>
  <c r="T90" i="25" s="1"/>
  <c r="S87" i="25"/>
  <c r="S89" i="25" s="1"/>
  <c r="S90" i="25" s="1"/>
  <c r="Q5" i="25"/>
  <c r="R87" i="25"/>
  <c r="R89" i="25" s="1"/>
  <c r="R90" i="25" s="1"/>
  <c r="O5" i="25"/>
  <c r="P5" i="25"/>
  <c r="Q87" i="25"/>
  <c r="Q89" i="25" s="1"/>
  <c r="Q90" i="25" s="1"/>
  <c r="P87" i="25"/>
  <c r="P89" i="25" s="1"/>
  <c r="P90" i="25" s="1"/>
  <c r="N5" i="25"/>
  <c r="O87" i="25"/>
  <c r="O89" i="25" s="1"/>
  <c r="AG246" i="25" s="1"/>
  <c r="M5" i="25"/>
  <c r="N87" i="25"/>
  <c r="N89" i="25" s="1"/>
  <c r="N7" i="25" s="1"/>
  <c r="L5" i="25"/>
  <c r="J87" i="25"/>
  <c r="J89" i="25" s="1"/>
  <c r="J90" i="25" s="1"/>
  <c r="I5" i="25"/>
  <c r="H5" i="25"/>
  <c r="J5" i="25"/>
  <c r="K5" i="25"/>
  <c r="AI70" i="25"/>
  <c r="I87" i="25"/>
  <c r="I89" i="25" s="1"/>
  <c r="I7" i="25" s="1"/>
  <c r="K87" i="25"/>
  <c r="K89" i="25" s="1"/>
  <c r="K90" i="25" s="1"/>
  <c r="L87" i="25"/>
  <c r="L89" i="25" s="1"/>
  <c r="L90" i="25" s="1"/>
  <c r="H87" i="25"/>
  <c r="H89" i="25" s="1"/>
  <c r="H7" i="25" s="1"/>
  <c r="F5" i="25"/>
  <c r="G87" i="25"/>
  <c r="G89" i="25" s="1"/>
  <c r="Y246" i="25" s="1"/>
  <c r="M87" i="25"/>
  <c r="M89" i="25" s="1"/>
  <c r="M7" i="25" s="1"/>
  <c r="E5" i="25"/>
  <c r="F87" i="25"/>
  <c r="F89" i="25" s="1"/>
  <c r="F90" i="25" s="1"/>
  <c r="D5" i="25"/>
  <c r="E87" i="25"/>
  <c r="E89" i="25" s="1"/>
  <c r="E7" i="25" s="1"/>
  <c r="C5" i="25"/>
  <c r="D87" i="25"/>
  <c r="D89" i="25" s="1"/>
  <c r="V246" i="25" s="1"/>
  <c r="B5" i="25"/>
  <c r="AI66" i="25"/>
  <c r="C87" i="25"/>
  <c r="C89" i="25" s="1"/>
  <c r="C90" i="25" s="1"/>
  <c r="AI52" i="25"/>
  <c r="AF5" i="25"/>
  <c r="B87" i="25"/>
  <c r="J7" i="25"/>
  <c r="AG89" i="25"/>
  <c r="AI98" i="25"/>
  <c r="AH98" i="25"/>
  <c r="J229" i="25"/>
  <c r="K229" i="25" s="1"/>
  <c r="L229" i="25" s="1"/>
  <c r="M229" i="25" s="1"/>
  <c r="N229" i="25" s="1"/>
  <c r="O229" i="25" s="1"/>
  <c r="P229" i="25" s="1"/>
  <c r="AH70" i="25"/>
  <c r="D243" i="25"/>
  <c r="AH66" i="25"/>
  <c r="E231" i="25"/>
  <c r="AH82" i="25"/>
  <c r="E226" i="25"/>
  <c r="AH48" i="25"/>
  <c r="AH52" i="25"/>
  <c r="AI82" i="25"/>
  <c r="AI48" i="25"/>
  <c r="AA87" i="24"/>
  <c r="AA89" i="24" s="1"/>
  <c r="AA90" i="24" s="1"/>
  <c r="AF271" i="24"/>
  <c r="AE271" i="24"/>
  <c r="AD271" i="24"/>
  <c r="AC271" i="24"/>
  <c r="AB271" i="24"/>
  <c r="AA271" i="24"/>
  <c r="Z271" i="24"/>
  <c r="Y271" i="24"/>
  <c r="X271" i="24"/>
  <c r="W271" i="24"/>
  <c r="V271" i="24"/>
  <c r="U271" i="24"/>
  <c r="T271" i="24"/>
  <c r="S271" i="24"/>
  <c r="R271" i="24"/>
  <c r="Q271" i="24"/>
  <c r="P271" i="24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C271" i="24"/>
  <c r="B271" i="24"/>
  <c r="A271" i="24"/>
  <c r="AF270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S270" i="24"/>
  <c r="R270" i="24"/>
  <c r="Q270" i="24"/>
  <c r="P270" i="24"/>
  <c r="O270" i="24"/>
  <c r="N270" i="24"/>
  <c r="M270" i="24"/>
  <c r="L270" i="24"/>
  <c r="K270" i="24"/>
  <c r="J270" i="24"/>
  <c r="I270" i="24"/>
  <c r="H270" i="24"/>
  <c r="G270" i="24"/>
  <c r="F270" i="24"/>
  <c r="E270" i="24"/>
  <c r="D270" i="24"/>
  <c r="C270" i="24"/>
  <c r="B270" i="24"/>
  <c r="A270" i="24"/>
  <c r="AF269" i="24"/>
  <c r="AE269" i="24"/>
  <c r="AD269" i="24"/>
  <c r="AC269" i="24"/>
  <c r="AB269" i="24"/>
  <c r="AA269" i="24"/>
  <c r="Z269" i="24"/>
  <c r="Y269" i="24"/>
  <c r="X269" i="24"/>
  <c r="W269" i="24"/>
  <c r="V269" i="24"/>
  <c r="U269" i="24"/>
  <c r="T269" i="24"/>
  <c r="S269" i="24"/>
  <c r="R269" i="24"/>
  <c r="Q269" i="24"/>
  <c r="P269" i="24"/>
  <c r="O269" i="24"/>
  <c r="N269" i="24"/>
  <c r="M269" i="24"/>
  <c r="L269" i="24"/>
  <c r="K269" i="24"/>
  <c r="J269" i="24"/>
  <c r="I269" i="24"/>
  <c r="H269" i="24"/>
  <c r="G269" i="24"/>
  <c r="F269" i="24"/>
  <c r="E269" i="24"/>
  <c r="D269" i="24"/>
  <c r="C269" i="24"/>
  <c r="B269" i="24"/>
  <c r="A269" i="24"/>
  <c r="AF268" i="24"/>
  <c r="AE268" i="24"/>
  <c r="AD268" i="24"/>
  <c r="AC268" i="24"/>
  <c r="AB268" i="24"/>
  <c r="AA268" i="24"/>
  <c r="Z268" i="24"/>
  <c r="Y268" i="24"/>
  <c r="X268" i="24"/>
  <c r="W268" i="24"/>
  <c r="V268" i="24"/>
  <c r="U268" i="24"/>
  <c r="T268" i="24"/>
  <c r="S268" i="24"/>
  <c r="R268" i="24"/>
  <c r="Q268" i="24"/>
  <c r="P268" i="24"/>
  <c r="O268" i="24"/>
  <c r="N268" i="24"/>
  <c r="M268" i="24"/>
  <c r="L268" i="24"/>
  <c r="K268" i="24"/>
  <c r="J268" i="24"/>
  <c r="I268" i="24"/>
  <c r="H268" i="24"/>
  <c r="G268" i="24"/>
  <c r="F268" i="24"/>
  <c r="E268" i="24"/>
  <c r="D268" i="24"/>
  <c r="C268" i="24"/>
  <c r="B268" i="24"/>
  <c r="A268" i="24"/>
  <c r="AE267" i="24"/>
  <c r="AD267" i="24"/>
  <c r="AC267" i="24"/>
  <c r="AB267" i="24"/>
  <c r="AA267" i="24"/>
  <c r="Z267" i="24"/>
  <c r="Y267" i="24"/>
  <c r="X267" i="24"/>
  <c r="W267" i="24"/>
  <c r="V267" i="24"/>
  <c r="U267" i="24"/>
  <c r="T267" i="24"/>
  <c r="S267" i="24"/>
  <c r="R267" i="24"/>
  <c r="Q267" i="24"/>
  <c r="P267" i="24"/>
  <c r="B267" i="24"/>
  <c r="S242" i="24"/>
  <c r="AG232" i="24"/>
  <c r="AG65" i="24" s="1"/>
  <c r="AG66" i="24" s="1"/>
  <c r="AG3" i="24" s="1"/>
  <c r="AF232" i="24"/>
  <c r="AE232" i="24"/>
  <c r="AD232" i="24"/>
  <c r="AC232" i="24"/>
  <c r="AB232" i="24"/>
  <c r="AA232" i="24"/>
  <c r="Z232" i="24"/>
  <c r="Y232" i="24"/>
  <c r="X232" i="24"/>
  <c r="W232" i="24"/>
  <c r="V232" i="24"/>
  <c r="U232" i="24"/>
  <c r="T232" i="24"/>
  <c r="S232" i="24"/>
  <c r="R232" i="24"/>
  <c r="Q232" i="24"/>
  <c r="C232" i="24"/>
  <c r="F231" i="24"/>
  <c r="E267" i="24" s="1"/>
  <c r="E231" i="24"/>
  <c r="D267" i="24" s="1"/>
  <c r="D231" i="24"/>
  <c r="C267" i="24" s="1"/>
  <c r="B231" i="24"/>
  <c r="AF267" i="24" s="1"/>
  <c r="E230" i="24"/>
  <c r="F230" i="24" s="1"/>
  <c r="G230" i="24" s="1"/>
  <c r="H230" i="24" s="1"/>
  <c r="I230" i="24" s="1"/>
  <c r="J230" i="24" s="1"/>
  <c r="K230" i="24" s="1"/>
  <c r="L230" i="24" s="1"/>
  <c r="M230" i="24" s="1"/>
  <c r="N230" i="24" s="1"/>
  <c r="O230" i="24" s="1"/>
  <c r="P230" i="24" s="1"/>
  <c r="D230" i="24"/>
  <c r="B230" i="24"/>
  <c r="D229" i="24"/>
  <c r="E229" i="24" s="1"/>
  <c r="F229" i="24" s="1"/>
  <c r="G229" i="24" s="1"/>
  <c r="H229" i="24" s="1"/>
  <c r="I229" i="24" s="1"/>
  <c r="B229" i="24"/>
  <c r="E228" i="24"/>
  <c r="F228" i="24" s="1"/>
  <c r="G228" i="24" s="1"/>
  <c r="H228" i="24" s="1"/>
  <c r="D228" i="24"/>
  <c r="B228" i="24"/>
  <c r="F227" i="24"/>
  <c r="G227" i="24" s="1"/>
  <c r="H227" i="24" s="1"/>
  <c r="I227" i="24" s="1"/>
  <c r="J227" i="24" s="1"/>
  <c r="K227" i="24" s="1"/>
  <c r="L227" i="24" s="1"/>
  <c r="M227" i="24" s="1"/>
  <c r="N227" i="24" s="1"/>
  <c r="O227" i="24" s="1"/>
  <c r="P227" i="24" s="1"/>
  <c r="E227" i="24"/>
  <c r="D227" i="24"/>
  <c r="B227" i="24"/>
  <c r="E226" i="24"/>
  <c r="F226" i="24" s="1"/>
  <c r="D226" i="24"/>
  <c r="B226" i="24"/>
  <c r="B108" i="24" s="1"/>
  <c r="AG224" i="24"/>
  <c r="AF224" i="24"/>
  <c r="AE224" i="24"/>
  <c r="AD224" i="24"/>
  <c r="AC224" i="24"/>
  <c r="AB224" i="24"/>
  <c r="AA224" i="24"/>
  <c r="Z224" i="24"/>
  <c r="Y224" i="24"/>
  <c r="X224" i="24"/>
  <c r="W224" i="24"/>
  <c r="V224" i="24"/>
  <c r="U224" i="24"/>
  <c r="T224" i="24"/>
  <c r="S224" i="24"/>
  <c r="R224" i="24"/>
  <c r="Q224" i="24"/>
  <c r="P224" i="24"/>
  <c r="O224" i="24"/>
  <c r="N224" i="24"/>
  <c r="M224" i="24"/>
  <c r="L224" i="24"/>
  <c r="K224" i="24"/>
  <c r="J224" i="24"/>
  <c r="I224" i="24"/>
  <c r="H224" i="24"/>
  <c r="G224" i="24"/>
  <c r="F224" i="24"/>
  <c r="E224" i="24"/>
  <c r="D224" i="24"/>
  <c r="C224" i="24"/>
  <c r="B224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I110" i="24"/>
  <c r="AH110" i="24"/>
  <c r="AI109" i="24"/>
  <c r="AH109" i="24"/>
  <c r="AF108" i="24"/>
  <c r="AE108" i="24"/>
  <c r="AD108" i="24"/>
  <c r="AC108" i="24"/>
  <c r="AB108" i="24"/>
  <c r="AA108" i="24"/>
  <c r="Z108" i="24"/>
  <c r="X108" i="24"/>
  <c r="W108" i="24"/>
  <c r="V108" i="24"/>
  <c r="U108" i="24"/>
  <c r="T108" i="24"/>
  <c r="S108" i="24"/>
  <c r="R108" i="24"/>
  <c r="Q108" i="24"/>
  <c r="D108" i="24"/>
  <c r="C108" i="24"/>
  <c r="AI107" i="24"/>
  <c r="AH107" i="24"/>
  <c r="AI106" i="24"/>
  <c r="AH106" i="24"/>
  <c r="AI105" i="24"/>
  <c r="AH105" i="24"/>
  <c r="AI104" i="24"/>
  <c r="AH104" i="24"/>
  <c r="AI103" i="24"/>
  <c r="AH103" i="24"/>
  <c r="AI102" i="24"/>
  <c r="AH102" i="24"/>
  <c r="AI101" i="24"/>
  <c r="AH101" i="24"/>
  <c r="AI100" i="24"/>
  <c r="AH100" i="24"/>
  <c r="AI99" i="24"/>
  <c r="AH99" i="24"/>
  <c r="AI97" i="24"/>
  <c r="AH97" i="24"/>
  <c r="AI96" i="24"/>
  <c r="AH96" i="24"/>
  <c r="AI95" i="24"/>
  <c r="AH95" i="24"/>
  <c r="AI94" i="24"/>
  <c r="AH94" i="24"/>
  <c r="AI93" i="24"/>
  <c r="AH93" i="24"/>
  <c r="AI92" i="24"/>
  <c r="AH92" i="24"/>
  <c r="AI91" i="24"/>
  <c r="AH91" i="24"/>
  <c r="AI88" i="24"/>
  <c r="AH88" i="24"/>
  <c r="AI86" i="24"/>
  <c r="AH86" i="24"/>
  <c r="AG86" i="24"/>
  <c r="AI85" i="24"/>
  <c r="AH85" i="24"/>
  <c r="AI84" i="24"/>
  <c r="AH84" i="24"/>
  <c r="AI83" i="24"/>
  <c r="AH83" i="24"/>
  <c r="AN82" i="24"/>
  <c r="AG82" i="24"/>
  <c r="AF82" i="24"/>
  <c r="AE5" i="24" s="1"/>
  <c r="AE82" i="24"/>
  <c r="AD5" i="24" s="1"/>
  <c r="AD82" i="24"/>
  <c r="AD98" i="24" s="1"/>
  <c r="AC82" i="24"/>
  <c r="AB5" i="24" s="1"/>
  <c r="AB82" i="24"/>
  <c r="AB98" i="24" s="1"/>
  <c r="AA98" i="24"/>
  <c r="Z82" i="24"/>
  <c r="Z98" i="24" s="1"/>
  <c r="X5" i="24"/>
  <c r="X82" i="24"/>
  <c r="W5" i="24" s="1"/>
  <c r="W82" i="24"/>
  <c r="V5" i="24" s="1"/>
  <c r="V82" i="24"/>
  <c r="V98" i="24" s="1"/>
  <c r="U82" i="24"/>
  <c r="T5" i="24" s="1"/>
  <c r="T82" i="24"/>
  <c r="T98" i="24" s="1"/>
  <c r="S82" i="24"/>
  <c r="S98" i="24" s="1"/>
  <c r="R82" i="24"/>
  <c r="R98" i="24" s="1"/>
  <c r="Q82" i="24"/>
  <c r="P5" i="24" s="1"/>
  <c r="P82" i="24"/>
  <c r="O5" i="24" s="1"/>
  <c r="O82" i="24"/>
  <c r="N5" i="24" s="1"/>
  <c r="N82" i="24"/>
  <c r="N98" i="24" s="1"/>
  <c r="M82" i="24"/>
  <c r="L5" i="24" s="1"/>
  <c r="L82" i="24"/>
  <c r="L98" i="24" s="1"/>
  <c r="K82" i="24"/>
  <c r="K98" i="24" s="1"/>
  <c r="J82" i="24"/>
  <c r="J98" i="24" s="1"/>
  <c r="I82" i="24"/>
  <c r="H5" i="24" s="1"/>
  <c r="H82" i="24"/>
  <c r="G5" i="24" s="1"/>
  <c r="G82" i="24"/>
  <c r="F5" i="24" s="1"/>
  <c r="F82" i="24"/>
  <c r="F98" i="24" s="1"/>
  <c r="E82" i="24"/>
  <c r="E98" i="24" s="1"/>
  <c r="D82" i="24"/>
  <c r="D98" i="24" s="1"/>
  <c r="C82" i="24"/>
  <c r="C98" i="24" s="1"/>
  <c r="B82" i="24"/>
  <c r="AF5" i="24" s="1"/>
  <c r="AN81" i="24"/>
  <c r="AI81" i="24"/>
  <c r="AH81" i="24"/>
  <c r="AN80" i="24"/>
  <c r="AI80" i="24"/>
  <c r="AH80" i="24"/>
  <c r="AN79" i="24"/>
  <c r="AI79" i="24"/>
  <c r="AH79" i="24"/>
  <c r="AI78" i="24"/>
  <c r="AH78" i="24"/>
  <c r="AI77" i="24"/>
  <c r="AH77" i="24"/>
  <c r="AI76" i="24"/>
  <c r="AH76" i="24"/>
  <c r="AI75" i="24"/>
  <c r="AH75" i="24"/>
  <c r="AI74" i="24"/>
  <c r="AH74" i="24"/>
  <c r="AI73" i="24"/>
  <c r="AH73" i="24"/>
  <c r="AI72" i="24"/>
  <c r="AH72" i="24"/>
  <c r="AI71" i="24"/>
  <c r="AH71" i="24"/>
  <c r="AG70" i="24"/>
  <c r="AF70" i="24"/>
  <c r="AE70" i="24"/>
  <c r="AD70" i="24"/>
  <c r="AC70" i="24"/>
  <c r="AB70" i="24"/>
  <c r="Z70" i="24"/>
  <c r="X70" i="24"/>
  <c r="W70" i="24"/>
  <c r="V70" i="24"/>
  <c r="U70" i="24"/>
  <c r="T70" i="24"/>
  <c r="S70" i="24"/>
  <c r="R70" i="24"/>
  <c r="Q70" i="24"/>
  <c r="P70" i="24"/>
  <c r="O70" i="24"/>
  <c r="N70" i="24"/>
  <c r="M70" i="24"/>
  <c r="L70" i="24"/>
  <c r="B70" i="24"/>
  <c r="AI69" i="24"/>
  <c r="AH69" i="24"/>
  <c r="AI68" i="24"/>
  <c r="AH68" i="24"/>
  <c r="AI67" i="24"/>
  <c r="AH67" i="24"/>
  <c r="AF66" i="24"/>
  <c r="AE66" i="24"/>
  <c r="AD66" i="24"/>
  <c r="AC66" i="24"/>
  <c r="AB66" i="24"/>
  <c r="Z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G52" i="24"/>
  <c r="AF52" i="24"/>
  <c r="AE52" i="24"/>
  <c r="AD52" i="24"/>
  <c r="AC52" i="24"/>
  <c r="AB52" i="24"/>
  <c r="Z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AI51" i="24"/>
  <c r="AH51" i="24"/>
  <c r="AI50" i="24"/>
  <c r="AH50" i="24"/>
  <c r="AI49" i="24"/>
  <c r="AH49" i="24"/>
  <c r="AG48" i="24"/>
  <c r="AF48" i="24"/>
  <c r="AE48" i="24"/>
  <c r="AD48" i="24"/>
  <c r="AC48" i="24"/>
  <c r="AB48" i="24"/>
  <c r="Z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C5" i="24"/>
  <c r="Z5" i="24"/>
  <c r="AG4" i="24"/>
  <c r="K4" i="24"/>
  <c r="E4" i="24"/>
  <c r="H4" i="24" s="1"/>
  <c r="B4" i="24"/>
  <c r="S243" i="24" s="1"/>
  <c r="AA111" i="23"/>
  <c r="Z111" i="23"/>
  <c r="X111" i="23"/>
  <c r="W108" i="23"/>
  <c r="W111" i="23"/>
  <c r="X108" i="23"/>
  <c r="V111" i="23"/>
  <c r="U111" i="23"/>
  <c r="T48" i="23"/>
  <c r="U48" i="23"/>
  <c r="T52" i="23"/>
  <c r="U52" i="23"/>
  <c r="T66" i="23"/>
  <c r="U66" i="23"/>
  <c r="T70" i="23"/>
  <c r="U70" i="23"/>
  <c r="T82" i="23"/>
  <c r="T98" i="23" s="1"/>
  <c r="U82" i="23"/>
  <c r="U98" i="23" s="1"/>
  <c r="T108" i="23"/>
  <c r="U108" i="23"/>
  <c r="P111" i="23"/>
  <c r="P48" i="23"/>
  <c r="O111" i="23"/>
  <c r="M111" i="23"/>
  <c r="M48" i="23"/>
  <c r="M52" i="23"/>
  <c r="M66" i="23"/>
  <c r="M70" i="23"/>
  <c r="M82" i="23"/>
  <c r="M98" i="23" s="1"/>
  <c r="G231" i="24" l="1"/>
  <c r="F267" i="24" s="1"/>
  <c r="AG87" i="24"/>
  <c r="D232" i="24"/>
  <c r="AA90" i="25"/>
  <c r="AD7" i="25"/>
  <c r="AI246" i="25"/>
  <c r="AR246" i="25"/>
  <c r="Z7" i="25"/>
  <c r="AL246" i="25"/>
  <c r="T7" i="25"/>
  <c r="P7" i="25"/>
  <c r="Q7" i="25"/>
  <c r="AX246" i="25"/>
  <c r="AF90" i="25"/>
  <c r="AE90" i="25"/>
  <c r="AE7" i="25"/>
  <c r="AD90" i="25"/>
  <c r="AB90" i="25"/>
  <c r="AC90" i="25"/>
  <c r="AU246" i="25"/>
  <c r="AT246" i="25"/>
  <c r="AS246" i="25"/>
  <c r="AQ246" i="25"/>
  <c r="Y7" i="25"/>
  <c r="AP246" i="25"/>
  <c r="X7" i="25"/>
  <c r="W7" i="25"/>
  <c r="W90" i="25"/>
  <c r="AN246" i="25"/>
  <c r="V7" i="25"/>
  <c r="U7" i="25"/>
  <c r="U90" i="25"/>
  <c r="S7" i="25"/>
  <c r="AK246" i="25"/>
  <c r="AJ246" i="25"/>
  <c r="R7" i="25"/>
  <c r="AH246" i="25"/>
  <c r="Z246" i="25"/>
  <c r="H90" i="25"/>
  <c r="X246" i="25"/>
  <c r="N90" i="25"/>
  <c r="AF246" i="25"/>
  <c r="O7" i="25"/>
  <c r="O90" i="25"/>
  <c r="M90" i="25"/>
  <c r="AE246" i="25"/>
  <c r="AB246" i="25"/>
  <c r="I90" i="25"/>
  <c r="AC246" i="25"/>
  <c r="K7" i="25"/>
  <c r="AA246" i="25"/>
  <c r="F7" i="25"/>
  <c r="AD246" i="25"/>
  <c r="L7" i="25"/>
  <c r="G90" i="25"/>
  <c r="B241" i="25"/>
  <c r="G7" i="25"/>
  <c r="C241" i="25"/>
  <c r="E90" i="25"/>
  <c r="W246" i="25"/>
  <c r="D7" i="25"/>
  <c r="D90" i="25"/>
  <c r="U246" i="25"/>
  <c r="C7" i="25"/>
  <c r="AH87" i="25"/>
  <c r="AI87" i="25"/>
  <c r="B89" i="25"/>
  <c r="B90" i="25" s="1"/>
  <c r="F226" i="25"/>
  <c r="E108" i="25"/>
  <c r="E232" i="25"/>
  <c r="D267" i="25"/>
  <c r="F231" i="25"/>
  <c r="AF87" i="24"/>
  <c r="AF89" i="24" s="1"/>
  <c r="AF90" i="24" s="1"/>
  <c r="AE98" i="24"/>
  <c r="AE87" i="24"/>
  <c r="AE89" i="24" s="1"/>
  <c r="AE90" i="24" s="1"/>
  <c r="AD87" i="24"/>
  <c r="AD89" i="24" s="1"/>
  <c r="AC98" i="24"/>
  <c r="AC87" i="24"/>
  <c r="AC89" i="24" s="1"/>
  <c r="AC90" i="24" s="1"/>
  <c r="AA5" i="24"/>
  <c r="AB87" i="24"/>
  <c r="AB89" i="24" s="1"/>
  <c r="AB7" i="24" s="1"/>
  <c r="Z87" i="24"/>
  <c r="Z89" i="24" s="1"/>
  <c r="X87" i="24"/>
  <c r="X89" i="24" s="1"/>
  <c r="W98" i="24"/>
  <c r="U5" i="24"/>
  <c r="U98" i="24"/>
  <c r="W87" i="24"/>
  <c r="W89" i="24" s="1"/>
  <c r="AO246" i="24" s="1"/>
  <c r="V87" i="24"/>
  <c r="V89" i="24" s="1"/>
  <c r="AN246" i="24" s="1"/>
  <c r="U87" i="24"/>
  <c r="U89" i="24" s="1"/>
  <c r="U7" i="24" s="1"/>
  <c r="S5" i="24"/>
  <c r="T87" i="24"/>
  <c r="T89" i="24" s="1"/>
  <c r="AL246" i="24" s="1"/>
  <c r="R5" i="24"/>
  <c r="S87" i="24"/>
  <c r="S89" i="24" s="1"/>
  <c r="S90" i="24" s="1"/>
  <c r="R87" i="24"/>
  <c r="R89" i="24" s="1"/>
  <c r="Q98" i="24"/>
  <c r="Q87" i="24"/>
  <c r="Q89" i="24" s="1"/>
  <c r="Q90" i="24" s="1"/>
  <c r="P87" i="24"/>
  <c r="P89" i="24" s="1"/>
  <c r="AH246" i="24" s="1"/>
  <c r="O98" i="24"/>
  <c r="O87" i="24"/>
  <c r="O89" i="24" s="1"/>
  <c r="O7" i="24" s="1"/>
  <c r="M5" i="24"/>
  <c r="N87" i="24"/>
  <c r="N89" i="24" s="1"/>
  <c r="AF246" i="24" s="1"/>
  <c r="M98" i="24"/>
  <c r="M87" i="24"/>
  <c r="M89" i="24" s="1"/>
  <c r="M90" i="24" s="1"/>
  <c r="K5" i="24"/>
  <c r="AI70" i="24"/>
  <c r="L87" i="24"/>
  <c r="L89" i="24" s="1"/>
  <c r="L7" i="24" s="1"/>
  <c r="J5" i="24"/>
  <c r="K87" i="24"/>
  <c r="K89" i="24" s="1"/>
  <c r="AC246" i="24" s="1"/>
  <c r="J87" i="24"/>
  <c r="J89" i="24" s="1"/>
  <c r="J90" i="24" s="1"/>
  <c r="I98" i="24"/>
  <c r="I87" i="24"/>
  <c r="I89" i="24" s="1"/>
  <c r="I90" i="24" s="1"/>
  <c r="H87" i="24"/>
  <c r="H89" i="24" s="1"/>
  <c r="H90" i="24" s="1"/>
  <c r="G98" i="24"/>
  <c r="G87" i="24"/>
  <c r="G89" i="24" s="1"/>
  <c r="Y246" i="24" s="1"/>
  <c r="F87" i="24"/>
  <c r="F89" i="24" s="1"/>
  <c r="F7" i="24" s="1"/>
  <c r="E5" i="24"/>
  <c r="B5" i="24"/>
  <c r="D5" i="24"/>
  <c r="E87" i="24"/>
  <c r="E89" i="24" s="1"/>
  <c r="E7" i="24" s="1"/>
  <c r="AH66" i="24"/>
  <c r="C5" i="24"/>
  <c r="D87" i="24"/>
  <c r="D89" i="24" s="1"/>
  <c r="D90" i="24" s="1"/>
  <c r="AH52" i="24"/>
  <c r="B87" i="24"/>
  <c r="B89" i="24" s="1"/>
  <c r="AI66" i="24"/>
  <c r="R7" i="24"/>
  <c r="R90" i="24"/>
  <c r="AJ246" i="24"/>
  <c r="Z90" i="24"/>
  <c r="AR246" i="24"/>
  <c r="Z7" i="24"/>
  <c r="J229" i="24"/>
  <c r="K229" i="24" s="1"/>
  <c r="L229" i="24" s="1"/>
  <c r="M229" i="24" s="1"/>
  <c r="N229" i="24" s="1"/>
  <c r="O229" i="24" s="1"/>
  <c r="P229" i="24" s="1"/>
  <c r="AE246" i="24"/>
  <c r="Y7" i="24"/>
  <c r="AQ246" i="24"/>
  <c r="AD7" i="24"/>
  <c r="AV246" i="24"/>
  <c r="AD90" i="24"/>
  <c r="F108" i="24"/>
  <c r="G226" i="24"/>
  <c r="F232" i="24"/>
  <c r="AG89" i="24"/>
  <c r="AG246" i="24"/>
  <c r="AS246" i="24"/>
  <c r="AA7" i="24"/>
  <c r="X90" i="24"/>
  <c r="X7" i="24"/>
  <c r="AP246" i="24"/>
  <c r="AF7" i="24"/>
  <c r="AX246" i="24"/>
  <c r="T90" i="24"/>
  <c r="I5" i="24"/>
  <c r="Q5" i="24"/>
  <c r="Y5" i="24"/>
  <c r="AH70" i="24"/>
  <c r="C87" i="24"/>
  <c r="C89" i="24" s="1"/>
  <c r="E232" i="24"/>
  <c r="D243" i="24"/>
  <c r="AG2" i="24"/>
  <c r="AG6" i="24" s="1"/>
  <c r="H98" i="24"/>
  <c r="P98" i="24"/>
  <c r="X98" i="24"/>
  <c r="AF98" i="24"/>
  <c r="E108" i="24"/>
  <c r="AH48" i="24"/>
  <c r="B98" i="24"/>
  <c r="H231" i="24"/>
  <c r="AI48" i="24"/>
  <c r="AI52" i="24"/>
  <c r="B232" i="24"/>
  <c r="AI82" i="24"/>
  <c r="AH82" i="24"/>
  <c r="U87" i="23"/>
  <c r="U89" i="23" s="1"/>
  <c r="U90" i="23" s="1"/>
  <c r="T87" i="23"/>
  <c r="T89" i="23" s="1"/>
  <c r="T90" i="23" s="1"/>
  <c r="M87" i="23"/>
  <c r="M89" i="23" s="1"/>
  <c r="M90" i="23" s="1"/>
  <c r="B82" i="23"/>
  <c r="AF5" i="23" s="1"/>
  <c r="B66" i="23"/>
  <c r="B52" i="23"/>
  <c r="B48" i="23"/>
  <c r="B87" i="23" s="1"/>
  <c r="B89" i="23" s="1"/>
  <c r="B90" i="23" s="1"/>
  <c r="AF271" i="23"/>
  <c r="AE271" i="23"/>
  <c r="AD271" i="23"/>
  <c r="AC271" i="23"/>
  <c r="AB271" i="23"/>
  <c r="AA271" i="23"/>
  <c r="Z271" i="23"/>
  <c r="Y271" i="23"/>
  <c r="X271" i="23"/>
  <c r="W271" i="23"/>
  <c r="V271" i="23"/>
  <c r="U271" i="23"/>
  <c r="T271" i="23"/>
  <c r="S271" i="23"/>
  <c r="R271" i="23"/>
  <c r="Q271" i="23"/>
  <c r="P271" i="23"/>
  <c r="O271" i="23"/>
  <c r="N271" i="23"/>
  <c r="M271" i="23"/>
  <c r="L271" i="23"/>
  <c r="K271" i="23"/>
  <c r="J271" i="23"/>
  <c r="I271" i="23"/>
  <c r="H271" i="23"/>
  <c r="G271" i="23"/>
  <c r="F271" i="23"/>
  <c r="E271" i="23"/>
  <c r="D271" i="23"/>
  <c r="C271" i="23"/>
  <c r="B271" i="23"/>
  <c r="A271" i="23"/>
  <c r="AF270" i="23"/>
  <c r="AE270" i="23"/>
  <c r="AD270" i="23"/>
  <c r="AC270" i="23"/>
  <c r="AB270" i="23"/>
  <c r="AA270" i="23"/>
  <c r="Z270" i="23"/>
  <c r="Y270" i="23"/>
  <c r="X270" i="23"/>
  <c r="W270" i="23"/>
  <c r="V270" i="23"/>
  <c r="U270" i="23"/>
  <c r="T270" i="23"/>
  <c r="S270" i="23"/>
  <c r="R270" i="23"/>
  <c r="Q270" i="23"/>
  <c r="P270" i="23"/>
  <c r="O270" i="23"/>
  <c r="N270" i="23"/>
  <c r="M270" i="23"/>
  <c r="L270" i="23"/>
  <c r="K270" i="23"/>
  <c r="J270" i="23"/>
  <c r="I270" i="23"/>
  <c r="H270" i="23"/>
  <c r="G270" i="23"/>
  <c r="F270" i="23"/>
  <c r="E270" i="23"/>
  <c r="D270" i="23"/>
  <c r="C270" i="23"/>
  <c r="B270" i="23"/>
  <c r="A270" i="23"/>
  <c r="AF269" i="23"/>
  <c r="AE269" i="23"/>
  <c r="AD269" i="23"/>
  <c r="AC269" i="23"/>
  <c r="AB269" i="23"/>
  <c r="AA269" i="23"/>
  <c r="Z269" i="23"/>
  <c r="Y269" i="23"/>
  <c r="X269" i="23"/>
  <c r="W269" i="23"/>
  <c r="V269" i="23"/>
  <c r="U269" i="23"/>
  <c r="T269" i="23"/>
  <c r="S269" i="23"/>
  <c r="R269" i="23"/>
  <c r="Q269" i="23"/>
  <c r="P269" i="23"/>
  <c r="O269" i="23"/>
  <c r="N269" i="23"/>
  <c r="M269" i="23"/>
  <c r="L269" i="23"/>
  <c r="K269" i="23"/>
  <c r="J269" i="23"/>
  <c r="I269" i="23"/>
  <c r="H269" i="23"/>
  <c r="G269" i="23"/>
  <c r="F269" i="23"/>
  <c r="E269" i="23"/>
  <c r="D269" i="23"/>
  <c r="C269" i="23"/>
  <c r="B269" i="23"/>
  <c r="A269" i="23"/>
  <c r="AF268" i="23"/>
  <c r="AE268" i="23"/>
  <c r="AD268" i="23"/>
  <c r="AC268" i="23"/>
  <c r="AB268" i="23"/>
  <c r="AA268" i="23"/>
  <c r="Z268" i="23"/>
  <c r="Y268" i="23"/>
  <c r="X268" i="23"/>
  <c r="W268" i="23"/>
  <c r="V268" i="23"/>
  <c r="U268" i="23"/>
  <c r="T268" i="23"/>
  <c r="S268" i="23"/>
  <c r="R268" i="23"/>
  <c r="Q268" i="23"/>
  <c r="P268" i="23"/>
  <c r="O268" i="23"/>
  <c r="N268" i="23"/>
  <c r="M268" i="23"/>
  <c r="L268" i="23"/>
  <c r="K268" i="23"/>
  <c r="J268" i="23"/>
  <c r="I268" i="23"/>
  <c r="H268" i="23"/>
  <c r="G268" i="23"/>
  <c r="F268" i="23"/>
  <c r="E268" i="23"/>
  <c r="D268" i="23"/>
  <c r="C268" i="23"/>
  <c r="B268" i="23"/>
  <c r="A268" i="23"/>
  <c r="AE267" i="23"/>
  <c r="AD267" i="23"/>
  <c r="AC267" i="23"/>
  <c r="AB267" i="23"/>
  <c r="AA267" i="23"/>
  <c r="Z267" i="23"/>
  <c r="Y267" i="23"/>
  <c r="X267" i="23"/>
  <c r="W267" i="23"/>
  <c r="V267" i="23"/>
  <c r="U267" i="23"/>
  <c r="T267" i="23"/>
  <c r="S267" i="23"/>
  <c r="R267" i="23"/>
  <c r="Q267" i="23"/>
  <c r="P267" i="23"/>
  <c r="B267" i="23"/>
  <c r="S242" i="23"/>
  <c r="AG232" i="23"/>
  <c r="AF232" i="23"/>
  <c r="AE232" i="23"/>
  <c r="AD232" i="23"/>
  <c r="AC232" i="23"/>
  <c r="AB232" i="23"/>
  <c r="AA232" i="23"/>
  <c r="Z232" i="23"/>
  <c r="Y232" i="23"/>
  <c r="X232" i="23"/>
  <c r="W232" i="23"/>
  <c r="V232" i="23"/>
  <c r="U232" i="23"/>
  <c r="T232" i="23"/>
  <c r="S232" i="23"/>
  <c r="R232" i="23"/>
  <c r="Q232" i="23"/>
  <c r="C232" i="23"/>
  <c r="E231" i="23"/>
  <c r="D267" i="23" s="1"/>
  <c r="D231" i="23"/>
  <c r="C267" i="23" s="1"/>
  <c r="B231" i="23"/>
  <c r="AF267" i="23" s="1"/>
  <c r="D230" i="23"/>
  <c r="E230" i="23" s="1"/>
  <c r="F230" i="23" s="1"/>
  <c r="G230" i="23" s="1"/>
  <c r="H230" i="23" s="1"/>
  <c r="I230" i="23" s="1"/>
  <c r="J230" i="23" s="1"/>
  <c r="K230" i="23" s="1"/>
  <c r="L230" i="23" s="1"/>
  <c r="M230" i="23" s="1"/>
  <c r="N230" i="23" s="1"/>
  <c r="O230" i="23" s="1"/>
  <c r="P230" i="23" s="1"/>
  <c r="B230" i="23"/>
  <c r="D229" i="23"/>
  <c r="E229" i="23" s="1"/>
  <c r="F229" i="23" s="1"/>
  <c r="G229" i="23" s="1"/>
  <c r="H229" i="23" s="1"/>
  <c r="I229" i="23" s="1"/>
  <c r="B229" i="23"/>
  <c r="E228" i="23"/>
  <c r="F228" i="23" s="1"/>
  <c r="G228" i="23" s="1"/>
  <c r="H228" i="23" s="1"/>
  <c r="D228" i="23"/>
  <c r="B228" i="23"/>
  <c r="D227" i="23"/>
  <c r="E227" i="23" s="1"/>
  <c r="F227" i="23" s="1"/>
  <c r="G227" i="23" s="1"/>
  <c r="H227" i="23" s="1"/>
  <c r="I227" i="23" s="1"/>
  <c r="J227" i="23" s="1"/>
  <c r="K227" i="23" s="1"/>
  <c r="L227" i="23" s="1"/>
  <c r="M227" i="23" s="1"/>
  <c r="N227" i="23" s="1"/>
  <c r="O227" i="23" s="1"/>
  <c r="P227" i="23" s="1"/>
  <c r="B227" i="23"/>
  <c r="E226" i="23"/>
  <c r="F226" i="23" s="1"/>
  <c r="D226" i="23"/>
  <c r="B226" i="23"/>
  <c r="B108" i="23" s="1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P224" i="23"/>
  <c r="O224" i="23"/>
  <c r="N224" i="23"/>
  <c r="M224" i="23"/>
  <c r="L224" i="23"/>
  <c r="K224" i="23"/>
  <c r="J224" i="23"/>
  <c r="I224" i="23"/>
  <c r="H224" i="23"/>
  <c r="G224" i="23"/>
  <c r="F224" i="23"/>
  <c r="E224" i="23"/>
  <c r="D224" i="23"/>
  <c r="C224" i="23"/>
  <c r="B224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F108" i="23"/>
  <c r="AE108" i="23"/>
  <c r="AD108" i="23"/>
  <c r="AC108" i="23"/>
  <c r="AB108" i="23"/>
  <c r="AA108" i="23"/>
  <c r="Z108" i="23"/>
  <c r="V108" i="23"/>
  <c r="S108" i="23"/>
  <c r="R108" i="23"/>
  <c r="Q108" i="23"/>
  <c r="D108" i="23"/>
  <c r="C108" i="23"/>
  <c r="AI107" i="23"/>
  <c r="AH107" i="23"/>
  <c r="AI106" i="23"/>
  <c r="AH106" i="23"/>
  <c r="AI105" i="23"/>
  <c r="AH105" i="23"/>
  <c r="AI104" i="23"/>
  <c r="AH104" i="23"/>
  <c r="AI103" i="23"/>
  <c r="AH103" i="23"/>
  <c r="AI102" i="23"/>
  <c r="AH102" i="23"/>
  <c r="AI101" i="23"/>
  <c r="AH101" i="23"/>
  <c r="AI100" i="23"/>
  <c r="AH100" i="23"/>
  <c r="AI99" i="23"/>
  <c r="AH99" i="23"/>
  <c r="AI97" i="23"/>
  <c r="AH97" i="23"/>
  <c r="AI96" i="23"/>
  <c r="AH96" i="23"/>
  <c r="AI95" i="23"/>
  <c r="AH95" i="23"/>
  <c r="AI94" i="23"/>
  <c r="AH94" i="23"/>
  <c r="AI93" i="23"/>
  <c r="AH93" i="23"/>
  <c r="AI92" i="23"/>
  <c r="AH92" i="23"/>
  <c r="AI91" i="23"/>
  <c r="AH91" i="23"/>
  <c r="AI88" i="23"/>
  <c r="AH88" i="23"/>
  <c r="AI86" i="23"/>
  <c r="AH86" i="23"/>
  <c r="AG86" i="23"/>
  <c r="AI85" i="23"/>
  <c r="AH85" i="23"/>
  <c r="AI84" i="23"/>
  <c r="AH84" i="23"/>
  <c r="AI83" i="23"/>
  <c r="AH83" i="23"/>
  <c r="AN82" i="23"/>
  <c r="AG82" i="23"/>
  <c r="AF82" i="23"/>
  <c r="AF98" i="23" s="1"/>
  <c r="AE82" i="23"/>
  <c r="AD5" i="23" s="1"/>
  <c r="AD82" i="23"/>
  <c r="AD98" i="23" s="1"/>
  <c r="AC82" i="23"/>
  <c r="AC98" i="23" s="1"/>
  <c r="AB82" i="23"/>
  <c r="AB98" i="23" s="1"/>
  <c r="AA82" i="23"/>
  <c r="AA98" i="23" s="1"/>
  <c r="Z82" i="23"/>
  <c r="Z98" i="23" s="1"/>
  <c r="X82" i="23"/>
  <c r="X98" i="23" s="1"/>
  <c r="W82" i="23"/>
  <c r="V5" i="23" s="1"/>
  <c r="V82" i="23"/>
  <c r="V98" i="23" s="1"/>
  <c r="S82" i="23"/>
  <c r="S98" i="23" s="1"/>
  <c r="R82" i="23"/>
  <c r="R98" i="23" s="1"/>
  <c r="Q82" i="23"/>
  <c r="Q98" i="23" s="1"/>
  <c r="P82" i="23"/>
  <c r="P98" i="23" s="1"/>
  <c r="O82" i="23"/>
  <c r="N5" i="23" s="1"/>
  <c r="N82" i="23"/>
  <c r="N98" i="23" s="1"/>
  <c r="L82" i="23"/>
  <c r="L98" i="23" s="1"/>
  <c r="K82" i="23"/>
  <c r="K98" i="23" s="1"/>
  <c r="J82" i="23"/>
  <c r="J98" i="23" s="1"/>
  <c r="I82" i="23"/>
  <c r="I98" i="23" s="1"/>
  <c r="H82" i="23"/>
  <c r="H98" i="23" s="1"/>
  <c r="G82" i="23"/>
  <c r="G98" i="23" s="1"/>
  <c r="F82" i="23"/>
  <c r="F98" i="23" s="1"/>
  <c r="E82" i="23"/>
  <c r="E98" i="23" s="1"/>
  <c r="D82" i="23"/>
  <c r="D98" i="23" s="1"/>
  <c r="C82" i="23"/>
  <c r="C98" i="23" s="1"/>
  <c r="AI81" i="23"/>
  <c r="AH81" i="23"/>
  <c r="AN80" i="23"/>
  <c r="AI80" i="23"/>
  <c r="AH80" i="23"/>
  <c r="AN79" i="23"/>
  <c r="AI79" i="23"/>
  <c r="AH79" i="23"/>
  <c r="AI78" i="23"/>
  <c r="AH78" i="23"/>
  <c r="AI77" i="23"/>
  <c r="AH77" i="23"/>
  <c r="AI76" i="23"/>
  <c r="AH76" i="23"/>
  <c r="AI75" i="23"/>
  <c r="AH75" i="23"/>
  <c r="AI74" i="23"/>
  <c r="AH74" i="23"/>
  <c r="AI73" i="23"/>
  <c r="AH73" i="23"/>
  <c r="AI72" i="23"/>
  <c r="AH72" i="23"/>
  <c r="AI71" i="23"/>
  <c r="AH71" i="23"/>
  <c r="AG70" i="23"/>
  <c r="AG4" i="23" s="1"/>
  <c r="AF70" i="23"/>
  <c r="AE70" i="23"/>
  <c r="AD70" i="23"/>
  <c r="AC70" i="23"/>
  <c r="AB70" i="23"/>
  <c r="AA70" i="23"/>
  <c r="Z70" i="23"/>
  <c r="X70" i="23"/>
  <c r="W70" i="23"/>
  <c r="V70" i="23"/>
  <c r="S70" i="23"/>
  <c r="R70" i="23"/>
  <c r="Q70" i="23"/>
  <c r="P70" i="23"/>
  <c r="O70" i="23"/>
  <c r="N70" i="23"/>
  <c r="L70" i="23"/>
  <c r="AI69" i="23"/>
  <c r="AH69" i="23"/>
  <c r="AI68" i="23"/>
  <c r="AH68" i="23"/>
  <c r="AI67" i="23"/>
  <c r="AH67" i="23"/>
  <c r="AF66" i="23"/>
  <c r="AE66" i="23"/>
  <c r="AD66" i="23"/>
  <c r="AC66" i="23"/>
  <c r="AB66" i="23"/>
  <c r="AA66" i="23"/>
  <c r="Z66" i="23"/>
  <c r="X66" i="23"/>
  <c r="W66" i="23"/>
  <c r="V66" i="23"/>
  <c r="S66" i="23"/>
  <c r="R66" i="23"/>
  <c r="Q66" i="23"/>
  <c r="P66" i="23"/>
  <c r="O66" i="23"/>
  <c r="N66" i="23"/>
  <c r="L66" i="23"/>
  <c r="K66" i="23"/>
  <c r="J66" i="23"/>
  <c r="I66" i="23"/>
  <c r="H66" i="23"/>
  <c r="G66" i="23"/>
  <c r="F66" i="23"/>
  <c r="E66" i="23"/>
  <c r="D66" i="23"/>
  <c r="C66" i="23"/>
  <c r="AI65" i="23"/>
  <c r="AH65" i="23"/>
  <c r="AG65" i="23"/>
  <c r="AG66" i="23" s="1"/>
  <c r="AG3" i="23" s="1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G52" i="23"/>
  <c r="AF52" i="23"/>
  <c r="AE52" i="23"/>
  <c r="AD52" i="23"/>
  <c r="AC52" i="23"/>
  <c r="AB52" i="23"/>
  <c r="AA52" i="23"/>
  <c r="Z52" i="23"/>
  <c r="X52" i="23"/>
  <c r="W52" i="23"/>
  <c r="V52" i="23"/>
  <c r="S52" i="23"/>
  <c r="R52" i="23"/>
  <c r="Q52" i="23"/>
  <c r="P52" i="23"/>
  <c r="O52" i="23"/>
  <c r="N52" i="23"/>
  <c r="L52" i="23"/>
  <c r="K52" i="23"/>
  <c r="J52" i="23"/>
  <c r="I52" i="23"/>
  <c r="H52" i="23"/>
  <c r="G52" i="23"/>
  <c r="F52" i="23"/>
  <c r="E52" i="23"/>
  <c r="D52" i="23"/>
  <c r="C52" i="23"/>
  <c r="AI51" i="23"/>
  <c r="AH51" i="23"/>
  <c r="AI50" i="23"/>
  <c r="AH50" i="23"/>
  <c r="AI49" i="23"/>
  <c r="AH49" i="23"/>
  <c r="AG48" i="23"/>
  <c r="AF48" i="23"/>
  <c r="AE48" i="23"/>
  <c r="AD48" i="23"/>
  <c r="AC48" i="23"/>
  <c r="AB48" i="23"/>
  <c r="AA48" i="23"/>
  <c r="Z48" i="23"/>
  <c r="X48" i="23"/>
  <c r="W48" i="23"/>
  <c r="V48" i="23"/>
  <c r="S48" i="23"/>
  <c r="R48" i="23"/>
  <c r="Q48" i="23"/>
  <c r="O48" i="23"/>
  <c r="N48" i="23"/>
  <c r="L48" i="23"/>
  <c r="K48" i="23"/>
  <c r="J48" i="23"/>
  <c r="I48" i="23"/>
  <c r="H48" i="23"/>
  <c r="G48" i="23"/>
  <c r="F48" i="23"/>
  <c r="E48" i="23"/>
  <c r="D48" i="23"/>
  <c r="C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X5" i="23"/>
  <c r="T5" i="23"/>
  <c r="S5" i="23"/>
  <c r="L5" i="23"/>
  <c r="K4" i="23"/>
  <c r="E4" i="23"/>
  <c r="H4" i="23" s="1"/>
  <c r="B4" i="23"/>
  <c r="S243" i="23" s="1"/>
  <c r="T48" i="22"/>
  <c r="U48" i="22"/>
  <c r="V48" i="22"/>
  <c r="W48" i="22"/>
  <c r="X48" i="22"/>
  <c r="Y48" i="22"/>
  <c r="S48" i="22"/>
  <c r="M7" i="24" l="1"/>
  <c r="D232" i="23"/>
  <c r="F90" i="24"/>
  <c r="E108" i="23"/>
  <c r="X246" i="24"/>
  <c r="R5" i="23"/>
  <c r="AN81" i="23"/>
  <c r="AG89" i="23"/>
  <c r="O90" i="24"/>
  <c r="B232" i="23"/>
  <c r="AW246" i="24"/>
  <c r="E90" i="24"/>
  <c r="W246" i="24"/>
  <c r="AC7" i="24"/>
  <c r="AT246" i="24"/>
  <c r="AB90" i="24"/>
  <c r="T7" i="24"/>
  <c r="P7" i="24"/>
  <c r="AI246" i="24"/>
  <c r="Q7" i="24"/>
  <c r="P90" i="24"/>
  <c r="N7" i="24"/>
  <c r="V7" i="24"/>
  <c r="W7" i="24"/>
  <c r="K6" i="25"/>
  <c r="T246" i="25"/>
  <c r="B7" i="25"/>
  <c r="A7" i="25" s="1"/>
  <c r="AH89" i="25"/>
  <c r="AI89" i="25"/>
  <c r="G226" i="25"/>
  <c r="F108" i="25"/>
  <c r="F232" i="25"/>
  <c r="E267" i="25"/>
  <c r="G231" i="25"/>
  <c r="AI90" i="25"/>
  <c r="AH90" i="25"/>
  <c r="AE7" i="24"/>
  <c r="AU246" i="24"/>
  <c r="AK246" i="24"/>
  <c r="W90" i="24"/>
  <c r="V90" i="24"/>
  <c r="U90" i="24"/>
  <c r="AM246" i="24"/>
  <c r="S7" i="24"/>
  <c r="Z246" i="24"/>
  <c r="H7" i="24"/>
  <c r="N90" i="24"/>
  <c r="L90" i="24"/>
  <c r="AD246" i="24"/>
  <c r="K7" i="24"/>
  <c r="K90" i="24"/>
  <c r="J7" i="24"/>
  <c r="AB246" i="24"/>
  <c r="AA246" i="24"/>
  <c r="I7" i="24"/>
  <c r="G90" i="24"/>
  <c r="G7" i="24"/>
  <c r="B241" i="24"/>
  <c r="C241" i="24"/>
  <c r="V246" i="24"/>
  <c r="D7" i="24"/>
  <c r="AI87" i="24"/>
  <c r="AI89" i="24"/>
  <c r="B90" i="24"/>
  <c r="AH89" i="24"/>
  <c r="B7" i="24"/>
  <c r="T246" i="24"/>
  <c r="G267" i="24"/>
  <c r="I231" i="24"/>
  <c r="AH87" i="24"/>
  <c r="AI98" i="24"/>
  <c r="AH98" i="24"/>
  <c r="H226" i="24"/>
  <c r="G108" i="24"/>
  <c r="G232" i="24"/>
  <c r="U246" i="24"/>
  <c r="C90" i="24"/>
  <c r="C7" i="24"/>
  <c r="AE5" i="23"/>
  <c r="AF87" i="23"/>
  <c r="AF89" i="23" s="1"/>
  <c r="AX246" i="23" s="1"/>
  <c r="AE98" i="23"/>
  <c r="AE87" i="23"/>
  <c r="AE89" i="23" s="1"/>
  <c r="AW246" i="23" s="1"/>
  <c r="AC5" i="23"/>
  <c r="AD87" i="23"/>
  <c r="AD89" i="23" s="1"/>
  <c r="AB5" i="23"/>
  <c r="AC87" i="23"/>
  <c r="AC89" i="23" s="1"/>
  <c r="AC7" i="23" s="1"/>
  <c r="AA5" i="23"/>
  <c r="AB87" i="23"/>
  <c r="AB89" i="23" s="1"/>
  <c r="AB90" i="23" s="1"/>
  <c r="Z5" i="23"/>
  <c r="AA87" i="23"/>
  <c r="AA89" i="23" s="1"/>
  <c r="AA7" i="23" s="1"/>
  <c r="Y5" i="23"/>
  <c r="Z87" i="23"/>
  <c r="Z89" i="23" s="1"/>
  <c r="W5" i="23"/>
  <c r="W98" i="23"/>
  <c r="W87" i="23"/>
  <c r="W89" i="23" s="1"/>
  <c r="AO246" i="23" s="1"/>
  <c r="X87" i="23"/>
  <c r="X89" i="23" s="1"/>
  <c r="X90" i="23" s="1"/>
  <c r="U5" i="23"/>
  <c r="V87" i="23"/>
  <c r="V89" i="23" s="1"/>
  <c r="S87" i="23"/>
  <c r="S89" i="23" s="1"/>
  <c r="S7" i="23" s="1"/>
  <c r="Q5" i="23"/>
  <c r="R87" i="23"/>
  <c r="R89" i="23" s="1"/>
  <c r="P5" i="23"/>
  <c r="Q87" i="23"/>
  <c r="Q89" i="23" s="1"/>
  <c r="Q90" i="23" s="1"/>
  <c r="O5" i="23"/>
  <c r="P87" i="23"/>
  <c r="P89" i="23" s="1"/>
  <c r="O98" i="23"/>
  <c r="AI70" i="23"/>
  <c r="O87" i="23"/>
  <c r="O89" i="23" s="1"/>
  <c r="M5" i="23"/>
  <c r="N87" i="23"/>
  <c r="N89" i="23" s="1"/>
  <c r="N7" i="23" s="1"/>
  <c r="K5" i="23"/>
  <c r="L87" i="23"/>
  <c r="L89" i="23" s="1"/>
  <c r="L7" i="23" s="1"/>
  <c r="J5" i="23"/>
  <c r="K87" i="23"/>
  <c r="K89" i="23" s="1"/>
  <c r="K7" i="23" s="1"/>
  <c r="I5" i="23"/>
  <c r="J87" i="23"/>
  <c r="J89" i="23" s="1"/>
  <c r="J7" i="23" s="1"/>
  <c r="H5" i="23"/>
  <c r="I87" i="23"/>
  <c r="I89" i="23" s="1"/>
  <c r="I90" i="23" s="1"/>
  <c r="G5" i="23"/>
  <c r="H87" i="23"/>
  <c r="H89" i="23" s="1"/>
  <c r="H90" i="23" s="1"/>
  <c r="F5" i="23"/>
  <c r="AI66" i="23"/>
  <c r="G87" i="23"/>
  <c r="G89" i="23" s="1"/>
  <c r="E5" i="23"/>
  <c r="F87" i="23"/>
  <c r="F89" i="23" s="1"/>
  <c r="X246" i="23" s="1"/>
  <c r="D5" i="23"/>
  <c r="E87" i="23"/>
  <c r="E89" i="23" s="1"/>
  <c r="E7" i="23" s="1"/>
  <c r="C5" i="23"/>
  <c r="D87" i="23"/>
  <c r="D89" i="23" s="1"/>
  <c r="V246" i="23" s="1"/>
  <c r="B98" i="23"/>
  <c r="AI52" i="23"/>
  <c r="B5" i="23"/>
  <c r="C87" i="23"/>
  <c r="C89" i="23" s="1"/>
  <c r="C90" i="23" s="1"/>
  <c r="D90" i="23"/>
  <c r="D7" i="23"/>
  <c r="T7" i="23"/>
  <c r="AL246" i="23"/>
  <c r="S90" i="23"/>
  <c r="M7" i="23"/>
  <c r="AE246" i="23"/>
  <c r="U7" i="23"/>
  <c r="AM246" i="23"/>
  <c r="AC90" i="23"/>
  <c r="F7" i="23"/>
  <c r="AF246" i="23"/>
  <c r="N90" i="23"/>
  <c r="V7" i="23"/>
  <c r="AN246" i="23"/>
  <c r="V90" i="23"/>
  <c r="AD7" i="23"/>
  <c r="AV246" i="23"/>
  <c r="AD90" i="23"/>
  <c r="AA90" i="23"/>
  <c r="AS246" i="23"/>
  <c r="AG246" i="23"/>
  <c r="O90" i="23"/>
  <c r="O7" i="23"/>
  <c r="AI98" i="23"/>
  <c r="AH98" i="23"/>
  <c r="G226" i="23"/>
  <c r="F108" i="23"/>
  <c r="J229" i="23"/>
  <c r="K229" i="23" s="1"/>
  <c r="L229" i="23" s="1"/>
  <c r="M229" i="23" s="1"/>
  <c r="N229" i="23" s="1"/>
  <c r="O229" i="23" s="1"/>
  <c r="P229" i="23" s="1"/>
  <c r="P90" i="23"/>
  <c r="P7" i="23"/>
  <c r="AH246" i="23"/>
  <c r="AF7" i="23"/>
  <c r="Y7" i="23"/>
  <c r="AQ246" i="23"/>
  <c r="AG87" i="23"/>
  <c r="R90" i="23"/>
  <c r="R7" i="23"/>
  <c r="AJ246" i="23"/>
  <c r="Z90" i="23"/>
  <c r="Z7" i="23"/>
  <c r="AR246" i="23"/>
  <c r="AH70" i="23"/>
  <c r="E232" i="23"/>
  <c r="D243" i="23"/>
  <c r="AH66" i="23"/>
  <c r="AG2" i="23"/>
  <c r="AG6" i="23" s="1"/>
  <c r="F231" i="23"/>
  <c r="AH82" i="23"/>
  <c r="AH48" i="23"/>
  <c r="AH52" i="23"/>
  <c r="AI82" i="23"/>
  <c r="AI48" i="23"/>
  <c r="R111" i="22"/>
  <c r="AP246" i="23" l="1"/>
  <c r="AI246" i="23"/>
  <c r="X7" i="23"/>
  <c r="AF90" i="23"/>
  <c r="Z246" i="23"/>
  <c r="AT246" i="23"/>
  <c r="H7" i="23"/>
  <c r="W7" i="23"/>
  <c r="AB7" i="23"/>
  <c r="W90" i="23"/>
  <c r="F267" i="25"/>
  <c r="H231" i="25"/>
  <c r="H226" i="25"/>
  <c r="G108" i="25"/>
  <c r="G232" i="25"/>
  <c r="K6" i="24"/>
  <c r="A7" i="24"/>
  <c r="H267" i="24"/>
  <c r="J231" i="24"/>
  <c r="I226" i="24"/>
  <c r="H108" i="24"/>
  <c r="H232" i="24"/>
  <c r="AI90" i="24"/>
  <c r="AH90" i="24"/>
  <c r="AE7" i="23"/>
  <c r="AE90" i="23"/>
  <c r="AU246" i="23"/>
  <c r="AK246" i="23"/>
  <c r="Q7" i="23"/>
  <c r="L90" i="23"/>
  <c r="AD246" i="23"/>
  <c r="K90" i="23"/>
  <c r="AC246" i="23"/>
  <c r="AB246" i="23"/>
  <c r="J90" i="23"/>
  <c r="C241" i="23"/>
  <c r="AA246" i="23"/>
  <c r="I7" i="23"/>
  <c r="G7" i="23"/>
  <c r="G90" i="23"/>
  <c r="Y246" i="23"/>
  <c r="B241" i="23"/>
  <c r="F90" i="23"/>
  <c r="E90" i="23"/>
  <c r="W246" i="23"/>
  <c r="AI87" i="23"/>
  <c r="U246" i="23"/>
  <c r="AH87" i="23"/>
  <c r="C7" i="23"/>
  <c r="H226" i="23"/>
  <c r="E267" i="23"/>
  <c r="G231" i="23"/>
  <c r="AI89" i="23"/>
  <c r="AH89" i="23"/>
  <c r="T246" i="23"/>
  <c r="B7" i="23"/>
  <c r="F232" i="23"/>
  <c r="N111" i="22"/>
  <c r="L111" i="22"/>
  <c r="K111" i="22"/>
  <c r="J111" i="22"/>
  <c r="I111" i="22"/>
  <c r="H111" i="22"/>
  <c r="G111" i="22"/>
  <c r="E111" i="22"/>
  <c r="F111" i="22"/>
  <c r="D111" i="22"/>
  <c r="D48" i="22"/>
  <c r="D52" i="22"/>
  <c r="D66" i="22"/>
  <c r="D70" i="22"/>
  <c r="C111" i="22"/>
  <c r="C108" i="22"/>
  <c r="C82" i="22"/>
  <c r="C98" i="22" s="1"/>
  <c r="C70" i="22"/>
  <c r="C66" i="22"/>
  <c r="C52" i="22"/>
  <c r="C48" i="22"/>
  <c r="B82" i="22"/>
  <c r="B98" i="22" s="1"/>
  <c r="B70" i="22"/>
  <c r="B66" i="22"/>
  <c r="B52" i="22"/>
  <c r="B48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T271" i="22"/>
  <c r="S271" i="22"/>
  <c r="R271" i="22"/>
  <c r="Q271" i="22"/>
  <c r="P271" i="22"/>
  <c r="O271" i="22"/>
  <c r="N271" i="22"/>
  <c r="M271" i="22"/>
  <c r="L271" i="22"/>
  <c r="K271" i="22"/>
  <c r="J271" i="22"/>
  <c r="I271" i="22"/>
  <c r="H271" i="22"/>
  <c r="G271" i="22"/>
  <c r="F271" i="22"/>
  <c r="E271" i="22"/>
  <c r="D271" i="22"/>
  <c r="C271" i="22"/>
  <c r="B271" i="22"/>
  <c r="A271" i="22"/>
  <c r="AF270" i="22"/>
  <c r="AE270" i="22"/>
  <c r="AD270" i="22"/>
  <c r="AC270" i="22"/>
  <c r="AB270" i="22"/>
  <c r="AA270" i="22"/>
  <c r="Z270" i="22"/>
  <c r="Y270" i="22"/>
  <c r="X270" i="22"/>
  <c r="W270" i="22"/>
  <c r="V270" i="22"/>
  <c r="U270" i="22"/>
  <c r="T270" i="22"/>
  <c r="S270" i="22"/>
  <c r="R270" i="22"/>
  <c r="Q270" i="22"/>
  <c r="P270" i="22"/>
  <c r="O270" i="22"/>
  <c r="N270" i="22"/>
  <c r="M270" i="22"/>
  <c r="L270" i="22"/>
  <c r="K270" i="22"/>
  <c r="J270" i="22"/>
  <c r="I270" i="22"/>
  <c r="H270" i="22"/>
  <c r="G270" i="22"/>
  <c r="F270" i="22"/>
  <c r="E270" i="22"/>
  <c r="D270" i="22"/>
  <c r="C270" i="22"/>
  <c r="B270" i="22"/>
  <c r="A270" i="22"/>
  <c r="AF269" i="22"/>
  <c r="AE269" i="22"/>
  <c r="AD269" i="22"/>
  <c r="AC269" i="22"/>
  <c r="AB269" i="22"/>
  <c r="AA269" i="22"/>
  <c r="Z269" i="22"/>
  <c r="Y269" i="22"/>
  <c r="X269" i="22"/>
  <c r="W269" i="22"/>
  <c r="V269" i="22"/>
  <c r="U269" i="22"/>
  <c r="T269" i="22"/>
  <c r="S269" i="22"/>
  <c r="R269" i="22"/>
  <c r="Q269" i="22"/>
  <c r="P269" i="22"/>
  <c r="O269" i="22"/>
  <c r="N269" i="22"/>
  <c r="M269" i="22"/>
  <c r="L269" i="22"/>
  <c r="K269" i="22"/>
  <c r="J269" i="22"/>
  <c r="I269" i="22"/>
  <c r="H269" i="22"/>
  <c r="G269" i="22"/>
  <c r="F269" i="22"/>
  <c r="E269" i="22"/>
  <c r="D269" i="22"/>
  <c r="C269" i="22"/>
  <c r="B269" i="22"/>
  <c r="A269" i="22"/>
  <c r="AF268" i="22"/>
  <c r="AE268" i="22"/>
  <c r="AD268" i="22"/>
  <c r="AC268" i="22"/>
  <c r="AB268" i="22"/>
  <c r="AA268" i="22"/>
  <c r="Z268" i="22"/>
  <c r="Y268" i="22"/>
  <c r="X268" i="22"/>
  <c r="W268" i="22"/>
  <c r="V268" i="22"/>
  <c r="U268" i="22"/>
  <c r="T268" i="22"/>
  <c r="S268" i="22"/>
  <c r="R268" i="22"/>
  <c r="Q268" i="22"/>
  <c r="P268" i="22"/>
  <c r="O268" i="22"/>
  <c r="N268" i="22"/>
  <c r="M268" i="22"/>
  <c r="L268" i="22"/>
  <c r="K268" i="22"/>
  <c r="J268" i="22"/>
  <c r="I268" i="22"/>
  <c r="H268" i="22"/>
  <c r="G268" i="22"/>
  <c r="F268" i="22"/>
  <c r="E268" i="22"/>
  <c r="D268" i="22"/>
  <c r="C268" i="22"/>
  <c r="B268" i="22"/>
  <c r="A268" i="22"/>
  <c r="AE267" i="22"/>
  <c r="AD267" i="22"/>
  <c r="AC267" i="22"/>
  <c r="AB267" i="22"/>
  <c r="AA267" i="22"/>
  <c r="Z267" i="22"/>
  <c r="Y267" i="22"/>
  <c r="X267" i="22"/>
  <c r="W267" i="22"/>
  <c r="V267" i="22"/>
  <c r="U267" i="22"/>
  <c r="T267" i="22"/>
  <c r="S267" i="22"/>
  <c r="R267" i="22"/>
  <c r="Q267" i="22"/>
  <c r="P267" i="22"/>
  <c r="B267" i="22"/>
  <c r="S242" i="22"/>
  <c r="AG232" i="22"/>
  <c r="AG65" i="22" s="1"/>
  <c r="AG66" i="22" s="1"/>
  <c r="AF232" i="22"/>
  <c r="AE232" i="22"/>
  <c r="AD232" i="22"/>
  <c r="AC232" i="22"/>
  <c r="AB232" i="22"/>
  <c r="AA232" i="22"/>
  <c r="Z232" i="22"/>
  <c r="Y232" i="22"/>
  <c r="X232" i="22"/>
  <c r="W232" i="22"/>
  <c r="V232" i="22"/>
  <c r="U232" i="22"/>
  <c r="T232" i="22"/>
  <c r="S232" i="22"/>
  <c r="R232" i="22"/>
  <c r="Q232" i="22"/>
  <c r="C232" i="22"/>
  <c r="D231" i="22"/>
  <c r="E231" i="22" s="1"/>
  <c r="B231" i="22"/>
  <c r="AF267" i="22" s="1"/>
  <c r="E230" i="22"/>
  <c r="F230" i="22" s="1"/>
  <c r="G230" i="22" s="1"/>
  <c r="H230" i="22" s="1"/>
  <c r="I230" i="22" s="1"/>
  <c r="J230" i="22" s="1"/>
  <c r="K230" i="22" s="1"/>
  <c r="L230" i="22" s="1"/>
  <c r="M230" i="22" s="1"/>
  <c r="N230" i="22" s="1"/>
  <c r="O230" i="22" s="1"/>
  <c r="P230" i="22" s="1"/>
  <c r="D230" i="22"/>
  <c r="B230" i="22"/>
  <c r="D229" i="22"/>
  <c r="E229" i="22" s="1"/>
  <c r="F229" i="22" s="1"/>
  <c r="G229" i="22" s="1"/>
  <c r="H229" i="22" s="1"/>
  <c r="I229" i="22" s="1"/>
  <c r="B229" i="22"/>
  <c r="E228" i="22"/>
  <c r="F228" i="22" s="1"/>
  <c r="G228" i="22" s="1"/>
  <c r="H228" i="22" s="1"/>
  <c r="D228" i="22"/>
  <c r="B228" i="22"/>
  <c r="D227" i="22"/>
  <c r="E227" i="22" s="1"/>
  <c r="F227" i="22" s="1"/>
  <c r="G227" i="22" s="1"/>
  <c r="H227" i="22" s="1"/>
  <c r="I227" i="22" s="1"/>
  <c r="J227" i="22" s="1"/>
  <c r="K227" i="22" s="1"/>
  <c r="L227" i="22" s="1"/>
  <c r="M227" i="22" s="1"/>
  <c r="N227" i="22" s="1"/>
  <c r="O227" i="22" s="1"/>
  <c r="P227" i="22" s="1"/>
  <c r="B227" i="22"/>
  <c r="E226" i="22"/>
  <c r="F226" i="22" s="1"/>
  <c r="D226" i="22"/>
  <c r="B226" i="22"/>
  <c r="B108" i="22" s="1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P224" i="22"/>
  <c r="O224" i="22"/>
  <c r="N224" i="22"/>
  <c r="M224" i="22"/>
  <c r="L224" i="22"/>
  <c r="K224" i="22"/>
  <c r="J224" i="22"/>
  <c r="I224" i="22"/>
  <c r="H224" i="22"/>
  <c r="G224" i="22"/>
  <c r="F224" i="22"/>
  <c r="E224" i="22"/>
  <c r="D224" i="22"/>
  <c r="C224" i="22"/>
  <c r="B224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I110" i="22"/>
  <c r="AH110" i="22"/>
  <c r="AI109" i="22"/>
  <c r="AH109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AI107" i="22"/>
  <c r="AH107" i="22"/>
  <c r="AI106" i="22"/>
  <c r="AH106" i="22"/>
  <c r="AI105" i="22"/>
  <c r="AH105" i="22"/>
  <c r="AI104" i="22"/>
  <c r="AH104" i="22"/>
  <c r="AI103" i="22"/>
  <c r="AH103" i="22"/>
  <c r="AI102" i="22"/>
  <c r="AH102" i="22"/>
  <c r="AI101" i="22"/>
  <c r="AH101" i="22"/>
  <c r="AI100" i="22"/>
  <c r="AH100" i="22"/>
  <c r="AI99" i="22"/>
  <c r="AH99" i="22"/>
  <c r="AI97" i="22"/>
  <c r="AH97" i="22"/>
  <c r="AI96" i="22"/>
  <c r="AH96" i="22"/>
  <c r="AI95" i="22"/>
  <c r="AH95" i="22"/>
  <c r="AI94" i="22"/>
  <c r="AH94" i="22"/>
  <c r="AI93" i="22"/>
  <c r="AH93" i="22"/>
  <c r="AI92" i="22"/>
  <c r="AH92" i="22"/>
  <c r="AI91" i="22"/>
  <c r="AH91" i="22"/>
  <c r="AI88" i="22"/>
  <c r="AH88" i="22"/>
  <c r="AI86" i="22"/>
  <c r="AH86" i="22"/>
  <c r="AG86" i="22"/>
  <c r="AI85" i="22"/>
  <c r="AH85" i="22"/>
  <c r="AI84" i="22"/>
  <c r="AH84" i="22"/>
  <c r="AI83" i="22"/>
  <c r="AH83" i="22"/>
  <c r="AN82" i="22"/>
  <c r="AG82" i="22"/>
  <c r="AF82" i="22"/>
  <c r="AE5" i="22" s="1"/>
  <c r="AE82" i="22"/>
  <c r="AE98" i="22" s="1"/>
  <c r="AD82" i="22"/>
  <c r="AD98" i="22" s="1"/>
  <c r="AC82" i="22"/>
  <c r="AC98" i="22" s="1"/>
  <c r="AB82" i="22"/>
  <c r="AB98" i="22" s="1"/>
  <c r="AA82" i="22"/>
  <c r="AA98" i="22" s="1"/>
  <c r="Z82" i="22"/>
  <c r="Y82" i="22"/>
  <c r="X5" i="22" s="1"/>
  <c r="X82" i="22"/>
  <c r="W5" i="22" s="1"/>
  <c r="W82" i="22"/>
  <c r="V5" i="22" s="1"/>
  <c r="V82" i="22"/>
  <c r="V98" i="22" s="1"/>
  <c r="U82" i="22"/>
  <c r="U98" i="22" s="1"/>
  <c r="T82" i="22"/>
  <c r="T98" i="22" s="1"/>
  <c r="S82" i="22"/>
  <c r="S98" i="22" s="1"/>
  <c r="R82" i="22"/>
  <c r="Q82" i="22"/>
  <c r="P5" i="22" s="1"/>
  <c r="P82" i="22"/>
  <c r="O5" i="22" s="1"/>
  <c r="O82" i="22"/>
  <c r="O98" i="22" s="1"/>
  <c r="N82" i="22"/>
  <c r="N98" i="22" s="1"/>
  <c r="M82" i="22"/>
  <c r="M98" i="22" s="1"/>
  <c r="L82" i="22"/>
  <c r="L98" i="22" s="1"/>
  <c r="K82" i="22"/>
  <c r="K98" i="22" s="1"/>
  <c r="J82" i="22"/>
  <c r="I82" i="22"/>
  <c r="H5" i="22" s="1"/>
  <c r="H82" i="22"/>
  <c r="G5" i="22" s="1"/>
  <c r="G82" i="22"/>
  <c r="F5" i="22" s="1"/>
  <c r="F82" i="22"/>
  <c r="F98" i="22" s="1"/>
  <c r="E82" i="22"/>
  <c r="E98" i="22" s="1"/>
  <c r="D82" i="22"/>
  <c r="D98" i="22" s="1"/>
  <c r="AI81" i="22"/>
  <c r="AH81" i="22"/>
  <c r="AN80" i="22"/>
  <c r="AI80" i="22"/>
  <c r="AH80" i="22"/>
  <c r="AN79" i="22"/>
  <c r="AN81" i="22" s="1"/>
  <c r="AI79" i="22"/>
  <c r="AH79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I72" i="22"/>
  <c r="AH72" i="22"/>
  <c r="AI71" i="22"/>
  <c r="AH71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AI69" i="22"/>
  <c r="AH69" i="22"/>
  <c r="AI68" i="22"/>
  <c r="AH68" i="22"/>
  <c r="AI67" i="22"/>
  <c r="AH67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V87" i="22" s="1"/>
  <c r="V89" i="22" s="1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AI51" i="22"/>
  <c r="AH51" i="22"/>
  <c r="AI50" i="22"/>
  <c r="AH50" i="22"/>
  <c r="AI49" i="22"/>
  <c r="AH49" i="22"/>
  <c r="AG48" i="22"/>
  <c r="AF48" i="22"/>
  <c r="AE48" i="22"/>
  <c r="AD48" i="22"/>
  <c r="AC48" i="22"/>
  <c r="AB48" i="22"/>
  <c r="AA48" i="22"/>
  <c r="Z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C5" i="22"/>
  <c r="AB5" i="22"/>
  <c r="T5" i="22"/>
  <c r="C5" i="22"/>
  <c r="AG4" i="22"/>
  <c r="K4" i="22"/>
  <c r="E4" i="22"/>
  <c r="H4" i="22" s="1"/>
  <c r="B4" i="22"/>
  <c r="S243" i="22" s="1"/>
  <c r="AG3" i="22"/>
  <c r="AF48" i="21"/>
  <c r="AF52" i="21"/>
  <c r="AF66" i="21"/>
  <c r="AF70" i="21"/>
  <c r="AF82" i="21"/>
  <c r="AE5" i="21" s="1"/>
  <c r="AE111" i="21"/>
  <c r="AE108" i="21" s="1"/>
  <c r="AD111" i="21"/>
  <c r="AC48" i="21"/>
  <c r="AD48" i="21"/>
  <c r="AC52" i="21"/>
  <c r="AD52" i="21"/>
  <c r="AC66" i="21"/>
  <c r="AD66" i="21"/>
  <c r="AC70" i="21"/>
  <c r="AD70" i="21"/>
  <c r="AC82" i="21"/>
  <c r="AD82" i="21"/>
  <c r="AB111" i="21"/>
  <c r="Y48" i="21"/>
  <c r="R52" i="21"/>
  <c r="P48" i="21"/>
  <c r="Q48" i="21"/>
  <c r="P52" i="21"/>
  <c r="Q52" i="21"/>
  <c r="O48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B267" i="21"/>
  <c r="S242" i="21"/>
  <c r="AG232" i="21"/>
  <c r="AG65" i="21" s="1"/>
  <c r="AG66" i="21" s="1"/>
  <c r="AG3" i="21" s="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C232" i="21"/>
  <c r="E231" i="21"/>
  <c r="F231" i="21" s="1"/>
  <c r="D231" i="21"/>
  <c r="C267" i="21" s="1"/>
  <c r="B231" i="21"/>
  <c r="AF267" i="21" s="1"/>
  <c r="D230" i="21"/>
  <c r="E230" i="21" s="1"/>
  <c r="F230" i="21" s="1"/>
  <c r="G230" i="21" s="1"/>
  <c r="H230" i="21" s="1"/>
  <c r="I230" i="21" s="1"/>
  <c r="J230" i="21" s="1"/>
  <c r="K230" i="21" s="1"/>
  <c r="L230" i="21" s="1"/>
  <c r="M230" i="21" s="1"/>
  <c r="N230" i="21" s="1"/>
  <c r="O230" i="21" s="1"/>
  <c r="P230" i="21" s="1"/>
  <c r="B230" i="21"/>
  <c r="D229" i="21"/>
  <c r="E229" i="21" s="1"/>
  <c r="F229" i="21" s="1"/>
  <c r="G229" i="21" s="1"/>
  <c r="H229" i="21" s="1"/>
  <c r="I229" i="21" s="1"/>
  <c r="B229" i="21"/>
  <c r="F228" i="21"/>
  <c r="G228" i="21" s="1"/>
  <c r="H228" i="21" s="1"/>
  <c r="E228" i="21"/>
  <c r="D228" i="21"/>
  <c r="B228" i="21"/>
  <c r="D227" i="21"/>
  <c r="E227" i="21" s="1"/>
  <c r="F227" i="21" s="1"/>
  <c r="G227" i="21" s="1"/>
  <c r="H227" i="21" s="1"/>
  <c r="I227" i="21" s="1"/>
  <c r="J227" i="21" s="1"/>
  <c r="K227" i="21" s="1"/>
  <c r="L227" i="21" s="1"/>
  <c r="M227" i="21" s="1"/>
  <c r="N227" i="21" s="1"/>
  <c r="O227" i="21" s="1"/>
  <c r="P227" i="21" s="1"/>
  <c r="B227" i="21"/>
  <c r="D226" i="21"/>
  <c r="D232" i="21" s="1"/>
  <c r="B226" i="21"/>
  <c r="B108" i="21" s="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0" i="21"/>
  <c r="AH110" i="21"/>
  <c r="AI109" i="21"/>
  <c r="AH109" i="21"/>
  <c r="AF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C108" i="21"/>
  <c r="AI107" i="21"/>
  <c r="AH107" i="21"/>
  <c r="AI106" i="21"/>
  <c r="AH106" i="21"/>
  <c r="AI105" i="21"/>
  <c r="AH105" i="21"/>
  <c r="AI104" i="21"/>
  <c r="AH104" i="21"/>
  <c r="AI103" i="21"/>
  <c r="AH103" i="21"/>
  <c r="AI102" i="21"/>
  <c r="AH102" i="21"/>
  <c r="AI101" i="21"/>
  <c r="AH101" i="21"/>
  <c r="AI100" i="21"/>
  <c r="AH100" i="21"/>
  <c r="AI99" i="21"/>
  <c r="AH99" i="21"/>
  <c r="AI97" i="21"/>
  <c r="AH97" i="21"/>
  <c r="AI96" i="21"/>
  <c r="AH96" i="21"/>
  <c r="AI95" i="21"/>
  <c r="AH95" i="21"/>
  <c r="AI94" i="21"/>
  <c r="AH94" i="21"/>
  <c r="AI93" i="21"/>
  <c r="AH93" i="21"/>
  <c r="AI92" i="21"/>
  <c r="AH92" i="21"/>
  <c r="AI91" i="21"/>
  <c r="AH91" i="21"/>
  <c r="AI88" i="21"/>
  <c r="AH88" i="21"/>
  <c r="AI86" i="21"/>
  <c r="AH86" i="21"/>
  <c r="AG86" i="21"/>
  <c r="AI85" i="21"/>
  <c r="AH85" i="21"/>
  <c r="AI84" i="21"/>
  <c r="AH84" i="21"/>
  <c r="AI83" i="21"/>
  <c r="AH83" i="21"/>
  <c r="AN82" i="21"/>
  <c r="AG82" i="21"/>
  <c r="AE82" i="21"/>
  <c r="AE98" i="21" s="1"/>
  <c r="AD98" i="21"/>
  <c r="AC98" i="21"/>
  <c r="AB82" i="21"/>
  <c r="AB98" i="21" s="1"/>
  <c r="AA82" i="21"/>
  <c r="AA98" i="21" s="1"/>
  <c r="Z82" i="21"/>
  <c r="Y5" i="21" s="1"/>
  <c r="Y82" i="21"/>
  <c r="X5" i="21" s="1"/>
  <c r="X82" i="21"/>
  <c r="W5" i="21" s="1"/>
  <c r="W82" i="21"/>
  <c r="W98" i="21" s="1"/>
  <c r="V82" i="21"/>
  <c r="V98" i="21" s="1"/>
  <c r="U82" i="21"/>
  <c r="U98" i="21" s="1"/>
  <c r="T82" i="21"/>
  <c r="T98" i="21" s="1"/>
  <c r="S82" i="21"/>
  <c r="S98" i="21" s="1"/>
  <c r="R82" i="21"/>
  <c r="R98" i="21" s="1"/>
  <c r="Q82" i="21"/>
  <c r="P5" i="21" s="1"/>
  <c r="P82" i="21"/>
  <c r="O5" i="21" s="1"/>
  <c r="O82" i="21"/>
  <c r="O98" i="21" s="1"/>
  <c r="N82" i="21"/>
  <c r="N98" i="21" s="1"/>
  <c r="M82" i="21"/>
  <c r="M98" i="21" s="1"/>
  <c r="L82" i="21"/>
  <c r="L98" i="21" s="1"/>
  <c r="K82" i="21"/>
  <c r="K98" i="21" s="1"/>
  <c r="J82" i="21"/>
  <c r="I5" i="21" s="1"/>
  <c r="I82" i="21"/>
  <c r="H5" i="21" s="1"/>
  <c r="H82" i="21"/>
  <c r="G5" i="21" s="1"/>
  <c r="G82" i="21"/>
  <c r="F5" i="21" s="1"/>
  <c r="F82" i="21"/>
  <c r="E5" i="21" s="1"/>
  <c r="E82" i="21"/>
  <c r="E98" i="21" s="1"/>
  <c r="D82" i="21"/>
  <c r="D98" i="21" s="1"/>
  <c r="C82" i="21"/>
  <c r="C98" i="21" s="1"/>
  <c r="B82" i="21"/>
  <c r="AF5" i="21" s="1"/>
  <c r="AI81" i="21"/>
  <c r="AH81" i="21"/>
  <c r="AN80" i="21"/>
  <c r="AI80" i="21"/>
  <c r="AH80" i="21"/>
  <c r="AN79" i="21"/>
  <c r="AI79" i="21"/>
  <c r="AH79" i="21"/>
  <c r="AI78" i="21"/>
  <c r="AH78" i="21"/>
  <c r="AI77" i="21"/>
  <c r="AH77" i="21"/>
  <c r="AI76" i="21"/>
  <c r="AH76" i="21"/>
  <c r="AI75" i="21"/>
  <c r="AH75" i="21"/>
  <c r="AI74" i="21"/>
  <c r="AH74" i="21"/>
  <c r="AI73" i="21"/>
  <c r="AH73" i="21"/>
  <c r="AI72" i="21"/>
  <c r="AH72" i="21"/>
  <c r="AI71" i="21"/>
  <c r="AH71" i="21"/>
  <c r="AG70" i="21"/>
  <c r="AE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B70" i="21"/>
  <c r="AI69" i="21"/>
  <c r="AH69" i="21"/>
  <c r="AI68" i="21"/>
  <c r="AH68" i="21"/>
  <c r="AI67" i="21"/>
  <c r="AH67" i="21"/>
  <c r="AE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G52" i="21"/>
  <c r="AE52" i="21"/>
  <c r="AB52" i="21"/>
  <c r="AA52" i="21"/>
  <c r="Z52" i="21"/>
  <c r="Y52" i="21"/>
  <c r="X52" i="21"/>
  <c r="W52" i="21"/>
  <c r="V52" i="21"/>
  <c r="U52" i="21"/>
  <c r="T52" i="21"/>
  <c r="S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I51" i="21"/>
  <c r="AH51" i="21"/>
  <c r="AI50" i="21"/>
  <c r="AH50" i="21"/>
  <c r="AI49" i="21"/>
  <c r="AH49" i="21"/>
  <c r="AG48" i="21"/>
  <c r="AG87" i="21" s="1"/>
  <c r="AE48" i="21"/>
  <c r="AB48" i="21"/>
  <c r="AA48" i="21"/>
  <c r="Z48" i="21"/>
  <c r="X48" i="21"/>
  <c r="W48" i="21"/>
  <c r="V48" i="21"/>
  <c r="U48" i="21"/>
  <c r="T48" i="21"/>
  <c r="S48" i="21"/>
  <c r="R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C5" i="21"/>
  <c r="AB5" i="21"/>
  <c r="AG4" i="21"/>
  <c r="K4" i="21"/>
  <c r="E4" i="21"/>
  <c r="H4" i="21" s="1"/>
  <c r="B4" i="21"/>
  <c r="S243" i="21" s="1"/>
  <c r="D267" i="22" l="1"/>
  <c r="F231" i="22"/>
  <c r="R5" i="21"/>
  <c r="AN81" i="21"/>
  <c r="AI111" i="21"/>
  <c r="B232" i="22"/>
  <c r="W87" i="21"/>
  <c r="W89" i="21" s="1"/>
  <c r="AO246" i="21" s="1"/>
  <c r="AH111" i="21"/>
  <c r="E226" i="21"/>
  <c r="F226" i="21" s="1"/>
  <c r="D232" i="22"/>
  <c r="D108" i="21"/>
  <c r="AC87" i="21"/>
  <c r="Q98" i="22"/>
  <c r="C267" i="22"/>
  <c r="AD5" i="22"/>
  <c r="I226" i="25"/>
  <c r="H108" i="25"/>
  <c r="H232" i="25"/>
  <c r="G267" i="25"/>
  <c r="I231" i="25"/>
  <c r="I108" i="24"/>
  <c r="J226" i="24"/>
  <c r="K231" i="24"/>
  <c r="I267" i="24"/>
  <c r="K6" i="23"/>
  <c r="A7" i="23"/>
  <c r="AI90" i="23"/>
  <c r="AH90" i="23"/>
  <c r="F267" i="23"/>
  <c r="H231" i="23"/>
  <c r="G232" i="23"/>
  <c r="G108" i="23"/>
  <c r="I226" i="23"/>
  <c r="H108" i="23"/>
  <c r="AF98" i="22"/>
  <c r="AF87" i="22"/>
  <c r="AF89" i="22" s="1"/>
  <c r="AE87" i="22"/>
  <c r="AE89" i="22" s="1"/>
  <c r="AE7" i="22" s="1"/>
  <c r="AD87" i="22"/>
  <c r="AD89" i="22" s="1"/>
  <c r="AC87" i="22"/>
  <c r="AC89" i="22" s="1"/>
  <c r="AC7" i="22" s="1"/>
  <c r="AA5" i="22"/>
  <c r="AB87" i="22"/>
  <c r="AB89" i="22" s="1"/>
  <c r="AA87" i="22"/>
  <c r="AA89" i="22" s="1"/>
  <c r="Z87" i="22"/>
  <c r="Z89" i="22" s="1"/>
  <c r="Z7" i="22" s="1"/>
  <c r="Y98" i="22"/>
  <c r="X98" i="22"/>
  <c r="X87" i="22"/>
  <c r="X89" i="22" s="1"/>
  <c r="W98" i="22"/>
  <c r="W87" i="22"/>
  <c r="W89" i="22" s="1"/>
  <c r="W7" i="22" s="1"/>
  <c r="U5" i="22"/>
  <c r="S87" i="22"/>
  <c r="S89" i="22" s="1"/>
  <c r="U87" i="22"/>
  <c r="U89" i="22" s="1"/>
  <c r="U7" i="22" s="1"/>
  <c r="S5" i="22"/>
  <c r="T87" i="22"/>
  <c r="T89" i="22" s="1"/>
  <c r="T90" i="22" s="1"/>
  <c r="R87" i="22"/>
  <c r="R89" i="22" s="1"/>
  <c r="P87" i="22"/>
  <c r="P89" i="22" s="1"/>
  <c r="P7" i="22" s="1"/>
  <c r="P98" i="22"/>
  <c r="N5" i="22"/>
  <c r="O87" i="22"/>
  <c r="O89" i="22" s="1"/>
  <c r="AG246" i="22" s="1"/>
  <c r="N87" i="22"/>
  <c r="N89" i="22" s="1"/>
  <c r="AF246" i="22" s="1"/>
  <c r="M5" i="22"/>
  <c r="L5" i="22"/>
  <c r="M87" i="22"/>
  <c r="M89" i="22" s="1"/>
  <c r="K5" i="22"/>
  <c r="L87" i="22"/>
  <c r="L89" i="22" s="1"/>
  <c r="L90" i="22" s="1"/>
  <c r="AI111" i="22"/>
  <c r="K87" i="22"/>
  <c r="K89" i="22" s="1"/>
  <c r="K90" i="22" s="1"/>
  <c r="AH111" i="22"/>
  <c r="I98" i="22"/>
  <c r="AH66" i="22"/>
  <c r="H98" i="22"/>
  <c r="H87" i="22"/>
  <c r="H89" i="22" s="1"/>
  <c r="H90" i="22" s="1"/>
  <c r="J87" i="22"/>
  <c r="J89" i="22" s="1"/>
  <c r="J7" i="22" s="1"/>
  <c r="G87" i="22"/>
  <c r="G89" i="22" s="1"/>
  <c r="G90" i="22" s="1"/>
  <c r="G98" i="22"/>
  <c r="D5" i="22"/>
  <c r="E5" i="22"/>
  <c r="AI66" i="22"/>
  <c r="F87" i="22"/>
  <c r="F89" i="22" s="1"/>
  <c r="F90" i="22" s="1"/>
  <c r="E87" i="22"/>
  <c r="E89" i="22" s="1"/>
  <c r="E7" i="22" s="1"/>
  <c r="D87" i="22"/>
  <c r="D89" i="22" s="1"/>
  <c r="V246" i="22" s="1"/>
  <c r="B87" i="22"/>
  <c r="B89" i="22" s="1"/>
  <c r="B90" i="22" s="1"/>
  <c r="B5" i="22"/>
  <c r="C87" i="22"/>
  <c r="C89" i="22" s="1"/>
  <c r="C90" i="22" s="1"/>
  <c r="AI70" i="22"/>
  <c r="AF7" i="22"/>
  <c r="AX246" i="22"/>
  <c r="AF90" i="22"/>
  <c r="AB90" i="22"/>
  <c r="AT246" i="22"/>
  <c r="AB7" i="22"/>
  <c r="Y87" i="22"/>
  <c r="Y89" i="22" s="1"/>
  <c r="AM246" i="22"/>
  <c r="U90" i="22"/>
  <c r="AJ246" i="22"/>
  <c r="R90" i="22"/>
  <c r="AR246" i="22"/>
  <c r="Z90" i="22"/>
  <c r="N7" i="22"/>
  <c r="N90" i="22"/>
  <c r="F232" i="22"/>
  <c r="G226" i="22"/>
  <c r="F108" i="22"/>
  <c r="X90" i="22"/>
  <c r="X7" i="22"/>
  <c r="AP246" i="22"/>
  <c r="Q87" i="22"/>
  <c r="Q89" i="22" s="1"/>
  <c r="AC90" i="22"/>
  <c r="S90" i="22"/>
  <c r="S7" i="22"/>
  <c r="AK246" i="22"/>
  <c r="AA90" i="22"/>
  <c r="AS246" i="22"/>
  <c r="AA7" i="22"/>
  <c r="AG87" i="22"/>
  <c r="AG2" i="22"/>
  <c r="AG6" i="22" s="1"/>
  <c r="M7" i="22"/>
  <c r="AE246" i="22"/>
  <c r="M90" i="22"/>
  <c r="Y246" i="22"/>
  <c r="V7" i="22"/>
  <c r="AN246" i="22"/>
  <c r="V90" i="22"/>
  <c r="J229" i="22"/>
  <c r="K229" i="22" s="1"/>
  <c r="L229" i="22" s="1"/>
  <c r="M229" i="22" s="1"/>
  <c r="N229" i="22" s="1"/>
  <c r="O229" i="22" s="1"/>
  <c r="P229" i="22" s="1"/>
  <c r="AG89" i="22"/>
  <c r="W90" i="22"/>
  <c r="AE90" i="22"/>
  <c r="AI52" i="22"/>
  <c r="I87" i="22"/>
  <c r="I89" i="22" s="1"/>
  <c r="R7" i="22"/>
  <c r="AF5" i="22"/>
  <c r="AI82" i="22"/>
  <c r="AH82" i="22"/>
  <c r="J98" i="22"/>
  <c r="I5" i="22"/>
  <c r="Q5" i="22"/>
  <c r="R98" i="22"/>
  <c r="Z98" i="22"/>
  <c r="Y5" i="22"/>
  <c r="AD7" i="22"/>
  <c r="AV246" i="22"/>
  <c r="AD90" i="22"/>
  <c r="AI48" i="22"/>
  <c r="AH70" i="22"/>
  <c r="E232" i="22"/>
  <c r="D243" i="22"/>
  <c r="AH52" i="22"/>
  <c r="J5" i="22"/>
  <c r="R5" i="22"/>
  <c r="Z5" i="22"/>
  <c r="D108" i="22"/>
  <c r="E108" i="22"/>
  <c r="AH48" i="22"/>
  <c r="AF87" i="21"/>
  <c r="AF89" i="21" s="1"/>
  <c r="AF90" i="21" s="1"/>
  <c r="AD5" i="21"/>
  <c r="AE87" i="21"/>
  <c r="AE89" i="21" s="1"/>
  <c r="AD87" i="21"/>
  <c r="AD89" i="21" s="1"/>
  <c r="AA5" i="21"/>
  <c r="Z5" i="21"/>
  <c r="Z87" i="21"/>
  <c r="Z89" i="21" s="1"/>
  <c r="Y87" i="21"/>
  <c r="Y89" i="21" s="1"/>
  <c r="Y90" i="21" s="1"/>
  <c r="X87" i="21"/>
  <c r="X89" i="21" s="1"/>
  <c r="V5" i="21"/>
  <c r="U5" i="21"/>
  <c r="V87" i="21"/>
  <c r="V89" i="21" s="1"/>
  <c r="T5" i="21"/>
  <c r="S5" i="21"/>
  <c r="R87" i="21"/>
  <c r="R89" i="21" s="1"/>
  <c r="Q87" i="21"/>
  <c r="Q89" i="21" s="1"/>
  <c r="AI246" i="21" s="1"/>
  <c r="P87" i="21"/>
  <c r="P89" i="21" s="1"/>
  <c r="Y98" i="21"/>
  <c r="D267" i="21"/>
  <c r="Q98" i="21"/>
  <c r="S87" i="21"/>
  <c r="S89" i="21" s="1"/>
  <c r="AK246" i="21" s="1"/>
  <c r="AA87" i="21"/>
  <c r="AA89" i="21" s="1"/>
  <c r="U87" i="21"/>
  <c r="U89" i="21" s="1"/>
  <c r="AM246" i="21" s="1"/>
  <c r="AC89" i="21"/>
  <c r="AC7" i="21" s="1"/>
  <c r="T87" i="21"/>
  <c r="T89" i="21" s="1"/>
  <c r="AB87" i="21"/>
  <c r="AB89" i="21" s="1"/>
  <c r="AB7" i="21" s="1"/>
  <c r="N5" i="21"/>
  <c r="O87" i="21"/>
  <c r="O89" i="21" s="1"/>
  <c r="AI70" i="21"/>
  <c r="M5" i="21"/>
  <c r="N87" i="21"/>
  <c r="N89" i="21" s="1"/>
  <c r="L5" i="21"/>
  <c r="M87" i="21"/>
  <c r="M89" i="21" s="1"/>
  <c r="K5" i="21"/>
  <c r="L87" i="21"/>
  <c r="L89" i="21" s="1"/>
  <c r="L90" i="21" s="1"/>
  <c r="J5" i="21"/>
  <c r="K87" i="21"/>
  <c r="K89" i="21" s="1"/>
  <c r="K90" i="21" s="1"/>
  <c r="J87" i="21"/>
  <c r="J89" i="21" s="1"/>
  <c r="I98" i="21"/>
  <c r="I87" i="21"/>
  <c r="I89" i="21" s="1"/>
  <c r="I7" i="21" s="1"/>
  <c r="H87" i="21"/>
  <c r="H89" i="21" s="1"/>
  <c r="H7" i="21" s="1"/>
  <c r="G87" i="21"/>
  <c r="G89" i="21" s="1"/>
  <c r="G7" i="21" s="1"/>
  <c r="G98" i="21"/>
  <c r="F98" i="21"/>
  <c r="F87" i="21"/>
  <c r="F89" i="21" s="1"/>
  <c r="F90" i="21" s="1"/>
  <c r="D5" i="21"/>
  <c r="E87" i="21"/>
  <c r="E89" i="21" s="1"/>
  <c r="E7" i="21" s="1"/>
  <c r="C5" i="21"/>
  <c r="AI66" i="21"/>
  <c r="D87" i="21"/>
  <c r="D89" i="21" s="1"/>
  <c r="D90" i="21" s="1"/>
  <c r="AI52" i="21"/>
  <c r="C87" i="21"/>
  <c r="C89" i="21" s="1"/>
  <c r="C90" i="21" s="1"/>
  <c r="B5" i="21"/>
  <c r="B87" i="21"/>
  <c r="N7" i="21"/>
  <c r="AF246" i="21"/>
  <c r="N90" i="21"/>
  <c r="G226" i="21"/>
  <c r="F108" i="21"/>
  <c r="F232" i="21"/>
  <c r="E267" i="21"/>
  <c r="G231" i="21"/>
  <c r="J90" i="21"/>
  <c r="J7" i="21"/>
  <c r="AB246" i="21"/>
  <c r="T90" i="21"/>
  <c r="AL246" i="21"/>
  <c r="T7" i="21"/>
  <c r="V7" i="21"/>
  <c r="AN246" i="21"/>
  <c r="V90" i="21"/>
  <c r="Z90" i="21"/>
  <c r="Z7" i="21"/>
  <c r="AR246" i="21"/>
  <c r="AD7" i="21"/>
  <c r="AV246" i="21"/>
  <c r="AD90" i="21"/>
  <c r="J229" i="21"/>
  <c r="K229" i="21" s="1"/>
  <c r="L229" i="21" s="1"/>
  <c r="M229" i="21" s="1"/>
  <c r="N229" i="21" s="1"/>
  <c r="O229" i="21" s="1"/>
  <c r="P229" i="21" s="1"/>
  <c r="AG89" i="21"/>
  <c r="AG246" i="21"/>
  <c r="O90" i="21"/>
  <c r="O7" i="21"/>
  <c r="AW246" i="21"/>
  <c r="AE90" i="21"/>
  <c r="AE7" i="21"/>
  <c r="AA7" i="21"/>
  <c r="AA90" i="21"/>
  <c r="AS246" i="21"/>
  <c r="B89" i="21"/>
  <c r="P90" i="21"/>
  <c r="P7" i="21"/>
  <c r="AH246" i="21"/>
  <c r="X7" i="21"/>
  <c r="AP246" i="21"/>
  <c r="X90" i="21"/>
  <c r="AF7" i="21"/>
  <c r="AX246" i="21"/>
  <c r="R7" i="21"/>
  <c r="R90" i="21"/>
  <c r="AJ246" i="21"/>
  <c r="Q7" i="21"/>
  <c r="Q90" i="21"/>
  <c r="M7" i="21"/>
  <c r="AE246" i="21"/>
  <c r="M90" i="21"/>
  <c r="B98" i="21"/>
  <c r="J98" i="21"/>
  <c r="Z98" i="21"/>
  <c r="Q5" i="21"/>
  <c r="AH70" i="21"/>
  <c r="E232" i="21"/>
  <c r="D243" i="21"/>
  <c r="AH66" i="21"/>
  <c r="AG2" i="21"/>
  <c r="AG6" i="21" s="1"/>
  <c r="H98" i="21"/>
  <c r="P98" i="21"/>
  <c r="X98" i="21"/>
  <c r="AF98" i="21"/>
  <c r="E108" i="21"/>
  <c r="AH82" i="21"/>
  <c r="AH48" i="21"/>
  <c r="AH52" i="21"/>
  <c r="AI48" i="21"/>
  <c r="B232" i="21"/>
  <c r="AI82" i="21"/>
  <c r="AW246" i="22" l="1"/>
  <c r="AU246" i="22"/>
  <c r="D7" i="22"/>
  <c r="P90" i="22"/>
  <c r="W7" i="21"/>
  <c r="AH246" i="22"/>
  <c r="G231" i="22"/>
  <c r="E267" i="22"/>
  <c r="W90" i="21"/>
  <c r="H267" i="25"/>
  <c r="J231" i="25"/>
  <c r="I108" i="25"/>
  <c r="J226" i="25"/>
  <c r="J267" i="24"/>
  <c r="L231" i="24"/>
  <c r="J108" i="24"/>
  <c r="K226" i="24"/>
  <c r="D90" i="22"/>
  <c r="G7" i="22"/>
  <c r="J226" i="23"/>
  <c r="G267" i="23"/>
  <c r="I231" i="23"/>
  <c r="H232" i="23"/>
  <c r="T7" i="22"/>
  <c r="AL246" i="22"/>
  <c r="AO246" i="22"/>
  <c r="U7" i="21"/>
  <c r="AQ246" i="21"/>
  <c r="Y7" i="21"/>
  <c r="U90" i="21"/>
  <c r="O7" i="22"/>
  <c r="O90" i="22"/>
  <c r="AD246" i="22"/>
  <c r="L7" i="22"/>
  <c r="AC246" i="22"/>
  <c r="K7" i="22"/>
  <c r="AB246" i="22"/>
  <c r="J90" i="22"/>
  <c r="Z246" i="22"/>
  <c r="B241" i="22"/>
  <c r="H7" i="22"/>
  <c r="AI87" i="22"/>
  <c r="X246" i="22"/>
  <c r="F7" i="22"/>
  <c r="W246" i="22"/>
  <c r="E90" i="22"/>
  <c r="C7" i="22"/>
  <c r="U246" i="22"/>
  <c r="Q90" i="22"/>
  <c r="Q7" i="22"/>
  <c r="AI246" i="22"/>
  <c r="H226" i="22"/>
  <c r="G108" i="22"/>
  <c r="G232" i="22"/>
  <c r="Y7" i="22"/>
  <c r="AQ246" i="22"/>
  <c r="Y90" i="22"/>
  <c r="AI98" i="22"/>
  <c r="AH98" i="22"/>
  <c r="AH89" i="22"/>
  <c r="T246" i="22"/>
  <c r="AI89" i="22"/>
  <c r="B7" i="22"/>
  <c r="AH87" i="22"/>
  <c r="I7" i="22"/>
  <c r="AA246" i="22"/>
  <c r="I90" i="22"/>
  <c r="C241" i="22"/>
  <c r="AC90" i="21"/>
  <c r="AU246" i="21"/>
  <c r="AT246" i="21"/>
  <c r="AB90" i="21"/>
  <c r="S7" i="21"/>
  <c r="S90" i="21"/>
  <c r="X246" i="21"/>
  <c r="F7" i="21"/>
  <c r="G90" i="21"/>
  <c r="Y246" i="21"/>
  <c r="I90" i="21"/>
  <c r="AA246" i="21"/>
  <c r="L7" i="21"/>
  <c r="AD246" i="21"/>
  <c r="AC246" i="21"/>
  <c r="K7" i="21"/>
  <c r="H90" i="21"/>
  <c r="B241" i="21"/>
  <c r="C241" i="21"/>
  <c r="Z246" i="21"/>
  <c r="E90" i="21"/>
  <c r="W246" i="21"/>
  <c r="D7" i="21"/>
  <c r="V246" i="21"/>
  <c r="U246" i="21"/>
  <c r="C7" i="21"/>
  <c r="AI87" i="21"/>
  <c r="AH87" i="21"/>
  <c r="H231" i="21"/>
  <c r="F267" i="21"/>
  <c r="AI98" i="21"/>
  <c r="AH98" i="21"/>
  <c r="AI89" i="21"/>
  <c r="B7" i="21"/>
  <c r="B90" i="21"/>
  <c r="T246" i="21"/>
  <c r="AH89" i="21"/>
  <c r="H226" i="21"/>
  <c r="G108" i="21"/>
  <c r="G232" i="21"/>
  <c r="H231" i="22" l="1"/>
  <c r="F267" i="22"/>
  <c r="H108" i="22"/>
  <c r="J108" i="25"/>
  <c r="K226" i="25"/>
  <c r="K231" i="25"/>
  <c r="I267" i="25"/>
  <c r="L226" i="24"/>
  <c r="K108" i="24"/>
  <c r="K267" i="24"/>
  <c r="M231" i="24"/>
  <c r="H267" i="23"/>
  <c r="J231" i="23"/>
  <c r="J108" i="23"/>
  <c r="K226" i="23"/>
  <c r="I108" i="23"/>
  <c r="K6" i="22"/>
  <c r="I226" i="22"/>
  <c r="H232" i="22"/>
  <c r="A7" i="22"/>
  <c r="AH90" i="22"/>
  <c r="AI90" i="22"/>
  <c r="A7" i="21"/>
  <c r="K6" i="21"/>
  <c r="I226" i="21"/>
  <c r="H232" i="21"/>
  <c r="H108" i="21"/>
  <c r="G267" i="21"/>
  <c r="I231" i="21"/>
  <c r="AI90" i="21"/>
  <c r="AH90" i="21"/>
  <c r="I108" i="22" l="1"/>
  <c r="G267" i="22"/>
  <c r="I231" i="22"/>
  <c r="J267" i="25"/>
  <c r="L231" i="25"/>
  <c r="L226" i="25"/>
  <c r="K108" i="25"/>
  <c r="L267" i="24"/>
  <c r="N231" i="24"/>
  <c r="M226" i="24"/>
  <c r="L108" i="24"/>
  <c r="L226" i="23"/>
  <c r="K231" i="23"/>
  <c r="I267" i="23"/>
  <c r="J226" i="22"/>
  <c r="H267" i="21"/>
  <c r="J231" i="21"/>
  <c r="I108" i="21"/>
  <c r="J226" i="21"/>
  <c r="AF66" i="16"/>
  <c r="AF70" i="16"/>
  <c r="AF82" i="16"/>
  <c r="AF271" i="20"/>
  <c r="AE271" i="20"/>
  <c r="AD271" i="20"/>
  <c r="AC271" i="20"/>
  <c r="AB271" i="20"/>
  <c r="AA271" i="20"/>
  <c r="Z271" i="20"/>
  <c r="Y271" i="20"/>
  <c r="X271" i="20"/>
  <c r="W271" i="20"/>
  <c r="V271" i="20"/>
  <c r="U271" i="20"/>
  <c r="T271" i="20"/>
  <c r="S271" i="20"/>
  <c r="R271" i="20"/>
  <c r="Q271" i="20"/>
  <c r="P271" i="20"/>
  <c r="O271" i="20"/>
  <c r="N271" i="20"/>
  <c r="M271" i="20"/>
  <c r="L271" i="20"/>
  <c r="K271" i="20"/>
  <c r="J271" i="20"/>
  <c r="I271" i="20"/>
  <c r="H271" i="20"/>
  <c r="G271" i="20"/>
  <c r="F271" i="20"/>
  <c r="E271" i="20"/>
  <c r="D271" i="20"/>
  <c r="C271" i="20"/>
  <c r="B271" i="20"/>
  <c r="A271" i="20"/>
  <c r="AF270" i="20"/>
  <c r="AE270" i="20"/>
  <c r="AD270" i="20"/>
  <c r="AC270" i="20"/>
  <c r="AB270" i="20"/>
  <c r="AA270" i="20"/>
  <c r="Z270" i="20"/>
  <c r="Y270" i="20"/>
  <c r="X270" i="20"/>
  <c r="W270" i="20"/>
  <c r="V270" i="20"/>
  <c r="U270" i="20"/>
  <c r="T270" i="20"/>
  <c r="S270" i="20"/>
  <c r="R270" i="20"/>
  <c r="Q270" i="20"/>
  <c r="P270" i="20"/>
  <c r="O270" i="20"/>
  <c r="N270" i="20"/>
  <c r="M270" i="20"/>
  <c r="L270" i="20"/>
  <c r="K270" i="20"/>
  <c r="J270" i="20"/>
  <c r="I270" i="20"/>
  <c r="H270" i="20"/>
  <c r="G270" i="20"/>
  <c r="F270" i="20"/>
  <c r="E270" i="20"/>
  <c r="D270" i="20"/>
  <c r="C270" i="20"/>
  <c r="B270" i="20"/>
  <c r="A270" i="20"/>
  <c r="AF269" i="20"/>
  <c r="AE269" i="20"/>
  <c r="AD269" i="20"/>
  <c r="AC269" i="20"/>
  <c r="AB269" i="20"/>
  <c r="AA269" i="20"/>
  <c r="Z269" i="20"/>
  <c r="Y269" i="20"/>
  <c r="X269" i="20"/>
  <c r="W269" i="20"/>
  <c r="V269" i="20"/>
  <c r="U269" i="20"/>
  <c r="T269" i="20"/>
  <c r="S269" i="20"/>
  <c r="R269" i="20"/>
  <c r="Q269" i="20"/>
  <c r="P269" i="20"/>
  <c r="O269" i="20"/>
  <c r="N269" i="20"/>
  <c r="M269" i="20"/>
  <c r="L269" i="20"/>
  <c r="K269" i="20"/>
  <c r="J269" i="20"/>
  <c r="I269" i="20"/>
  <c r="H269" i="20"/>
  <c r="G269" i="20"/>
  <c r="F269" i="20"/>
  <c r="E269" i="20"/>
  <c r="D269" i="20"/>
  <c r="C269" i="20"/>
  <c r="B269" i="20"/>
  <c r="A269" i="20"/>
  <c r="AF268" i="20"/>
  <c r="AE268" i="20"/>
  <c r="AD268" i="20"/>
  <c r="AC268" i="20"/>
  <c r="AB268" i="20"/>
  <c r="AA268" i="20"/>
  <c r="Z268" i="20"/>
  <c r="Y268" i="20"/>
  <c r="X268" i="20"/>
  <c r="W268" i="20"/>
  <c r="V268" i="20"/>
  <c r="U268" i="20"/>
  <c r="T268" i="20"/>
  <c r="S268" i="20"/>
  <c r="R268" i="20"/>
  <c r="Q268" i="20"/>
  <c r="P268" i="20"/>
  <c r="O268" i="20"/>
  <c r="N268" i="20"/>
  <c r="M268" i="20"/>
  <c r="L268" i="20"/>
  <c r="K268" i="20"/>
  <c r="J268" i="20"/>
  <c r="I268" i="20"/>
  <c r="H268" i="20"/>
  <c r="G268" i="20"/>
  <c r="F268" i="20"/>
  <c r="E268" i="20"/>
  <c r="D268" i="20"/>
  <c r="C268" i="20"/>
  <c r="B268" i="20"/>
  <c r="A268" i="20"/>
  <c r="AE267" i="20"/>
  <c r="AD267" i="20"/>
  <c r="AC267" i="20"/>
  <c r="AB267" i="20"/>
  <c r="AA267" i="20"/>
  <c r="Z267" i="20"/>
  <c r="Y267" i="20"/>
  <c r="X267" i="20"/>
  <c r="W267" i="20"/>
  <c r="V267" i="20"/>
  <c r="U267" i="20"/>
  <c r="T267" i="20"/>
  <c r="S267" i="20"/>
  <c r="R267" i="20"/>
  <c r="Q267" i="20"/>
  <c r="P267" i="20"/>
  <c r="B267" i="20"/>
  <c r="S242" i="20"/>
  <c r="AG232" i="20"/>
  <c r="AF232" i="20"/>
  <c r="AE232" i="20"/>
  <c r="AD232" i="20"/>
  <c r="AC232" i="20"/>
  <c r="AB232" i="20"/>
  <c r="AA232" i="20"/>
  <c r="Z232" i="20"/>
  <c r="Y232" i="20"/>
  <c r="X232" i="20"/>
  <c r="W232" i="20"/>
  <c r="V232" i="20"/>
  <c r="U232" i="20"/>
  <c r="T232" i="20"/>
  <c r="S232" i="20"/>
  <c r="R232" i="20"/>
  <c r="Q232" i="20"/>
  <c r="C232" i="20"/>
  <c r="D231" i="20"/>
  <c r="C267" i="20" s="1"/>
  <c r="B231" i="20"/>
  <c r="AF267" i="20" s="1"/>
  <c r="D230" i="20"/>
  <c r="E230" i="20" s="1"/>
  <c r="F230" i="20" s="1"/>
  <c r="G230" i="20" s="1"/>
  <c r="H230" i="20" s="1"/>
  <c r="I230" i="20" s="1"/>
  <c r="J230" i="20" s="1"/>
  <c r="K230" i="20" s="1"/>
  <c r="L230" i="20" s="1"/>
  <c r="M230" i="20" s="1"/>
  <c r="N230" i="20" s="1"/>
  <c r="O230" i="20" s="1"/>
  <c r="P230" i="20" s="1"/>
  <c r="B230" i="20"/>
  <c r="D229" i="20"/>
  <c r="E229" i="20" s="1"/>
  <c r="F229" i="20" s="1"/>
  <c r="G229" i="20" s="1"/>
  <c r="H229" i="20" s="1"/>
  <c r="I229" i="20" s="1"/>
  <c r="B229" i="20"/>
  <c r="D228" i="20"/>
  <c r="E228" i="20" s="1"/>
  <c r="F228" i="20" s="1"/>
  <c r="G228" i="20" s="1"/>
  <c r="H228" i="20" s="1"/>
  <c r="B228" i="20"/>
  <c r="E227" i="20"/>
  <c r="F227" i="20" s="1"/>
  <c r="G227" i="20" s="1"/>
  <c r="H227" i="20" s="1"/>
  <c r="I227" i="20" s="1"/>
  <c r="J227" i="20" s="1"/>
  <c r="K227" i="20" s="1"/>
  <c r="L227" i="20" s="1"/>
  <c r="M227" i="20" s="1"/>
  <c r="N227" i="20" s="1"/>
  <c r="O227" i="20" s="1"/>
  <c r="P227" i="20" s="1"/>
  <c r="D227" i="20"/>
  <c r="B227" i="20"/>
  <c r="D226" i="20"/>
  <c r="B226" i="20"/>
  <c r="B232" i="20" s="1"/>
  <c r="AG224" i="20"/>
  <c r="AF224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P224" i="20"/>
  <c r="O224" i="20"/>
  <c r="N224" i="20"/>
  <c r="M224" i="20"/>
  <c r="L224" i="20"/>
  <c r="K224" i="20"/>
  <c r="J224" i="20"/>
  <c r="I224" i="20"/>
  <c r="H224" i="20"/>
  <c r="G224" i="20"/>
  <c r="F224" i="20"/>
  <c r="E224" i="20"/>
  <c r="D224" i="20"/>
  <c r="C224" i="20"/>
  <c r="B224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10" i="20"/>
  <c r="AH110" i="20"/>
  <c r="AI109" i="20"/>
  <c r="AH109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C108" i="20"/>
  <c r="AI107" i="20"/>
  <c r="AH107" i="20"/>
  <c r="AI106" i="20"/>
  <c r="AH106" i="20"/>
  <c r="AI105" i="20"/>
  <c r="AH105" i="20"/>
  <c r="AI104" i="20"/>
  <c r="AH104" i="20"/>
  <c r="AI103" i="20"/>
  <c r="AH103" i="20"/>
  <c r="AI102" i="20"/>
  <c r="AH102" i="20"/>
  <c r="AI101" i="20"/>
  <c r="AH101" i="20"/>
  <c r="AI100" i="20"/>
  <c r="AH100" i="20"/>
  <c r="AI99" i="20"/>
  <c r="AH99" i="20"/>
  <c r="AI97" i="20"/>
  <c r="AH97" i="20"/>
  <c r="AI96" i="20"/>
  <c r="AH96" i="20"/>
  <c r="AI95" i="20"/>
  <c r="AH95" i="20"/>
  <c r="AI94" i="20"/>
  <c r="AH94" i="20"/>
  <c r="AI93" i="20"/>
  <c r="AH93" i="20"/>
  <c r="AI92" i="20"/>
  <c r="AH92" i="20"/>
  <c r="AI91" i="20"/>
  <c r="AH91" i="20"/>
  <c r="AI88" i="20"/>
  <c r="AH88" i="20"/>
  <c r="AI86" i="20"/>
  <c r="AH86" i="20"/>
  <c r="AG86" i="20"/>
  <c r="AI85" i="20"/>
  <c r="AH85" i="20"/>
  <c r="AI84" i="20"/>
  <c r="AH84" i="20"/>
  <c r="AI83" i="20"/>
  <c r="AH83" i="20"/>
  <c r="AN82" i="20"/>
  <c r="AG82" i="20"/>
  <c r="AF82" i="20"/>
  <c r="AF98" i="20" s="1"/>
  <c r="AE82" i="20"/>
  <c r="AE98" i="20" s="1"/>
  <c r="AD82" i="20"/>
  <c r="AD98" i="20" s="1"/>
  <c r="AC82" i="20"/>
  <c r="AC98" i="20" s="1"/>
  <c r="AB82" i="20"/>
  <c r="AB98" i="20" s="1"/>
  <c r="AA82" i="20"/>
  <c r="AA98" i="20" s="1"/>
  <c r="Z82" i="20"/>
  <c r="Z98" i="20" s="1"/>
  <c r="Y82" i="20"/>
  <c r="Y98" i="20" s="1"/>
  <c r="X82" i="20"/>
  <c r="X98" i="20" s="1"/>
  <c r="W82" i="20"/>
  <c r="W98" i="20" s="1"/>
  <c r="V82" i="20"/>
  <c r="V98" i="20" s="1"/>
  <c r="U82" i="20"/>
  <c r="U98" i="20" s="1"/>
  <c r="T82" i="20"/>
  <c r="T98" i="20" s="1"/>
  <c r="S82" i="20"/>
  <c r="S98" i="20" s="1"/>
  <c r="R82" i="20"/>
  <c r="R98" i="20" s="1"/>
  <c r="Q82" i="20"/>
  <c r="Q98" i="20" s="1"/>
  <c r="P82" i="20"/>
  <c r="P98" i="20" s="1"/>
  <c r="O82" i="20"/>
  <c r="O98" i="20" s="1"/>
  <c r="N82" i="20"/>
  <c r="N98" i="20" s="1"/>
  <c r="M82" i="20"/>
  <c r="M98" i="20" s="1"/>
  <c r="L82" i="20"/>
  <c r="L98" i="20" s="1"/>
  <c r="K82" i="20"/>
  <c r="K98" i="20" s="1"/>
  <c r="J82" i="20"/>
  <c r="J98" i="20" s="1"/>
  <c r="I82" i="20"/>
  <c r="I98" i="20" s="1"/>
  <c r="H82" i="20"/>
  <c r="H98" i="20" s="1"/>
  <c r="G82" i="20"/>
  <c r="G98" i="20" s="1"/>
  <c r="F82" i="20"/>
  <c r="F98" i="20" s="1"/>
  <c r="E82" i="20"/>
  <c r="E98" i="20" s="1"/>
  <c r="D82" i="20"/>
  <c r="D98" i="20" s="1"/>
  <c r="C82" i="20"/>
  <c r="C98" i="20" s="1"/>
  <c r="B82" i="20"/>
  <c r="B98" i="20" s="1"/>
  <c r="AI81" i="20"/>
  <c r="AH81" i="20"/>
  <c r="AN80" i="20"/>
  <c r="AI80" i="20"/>
  <c r="AH80" i="20"/>
  <c r="AN79" i="20"/>
  <c r="AN81" i="20" s="1"/>
  <c r="AI79" i="20"/>
  <c r="AH79" i="20"/>
  <c r="AI78" i="20"/>
  <c r="AH78" i="20"/>
  <c r="AI77" i="20"/>
  <c r="AH77" i="20"/>
  <c r="AI76" i="20"/>
  <c r="AH76" i="20"/>
  <c r="AI75" i="20"/>
  <c r="AH75" i="20"/>
  <c r="AI74" i="20"/>
  <c r="AH74" i="20"/>
  <c r="AI73" i="20"/>
  <c r="AH73" i="20"/>
  <c r="AI72" i="20"/>
  <c r="AH72" i="20"/>
  <c r="AI71" i="20"/>
  <c r="AH71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B70" i="20"/>
  <c r="AI69" i="20"/>
  <c r="AH69" i="20"/>
  <c r="AI68" i="20"/>
  <c r="AH68" i="20"/>
  <c r="AI67" i="20"/>
  <c r="AH67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I65" i="20"/>
  <c r="AH65" i="20"/>
  <c r="AG65" i="20"/>
  <c r="AG66" i="20" s="1"/>
  <c r="AG3" i="20" s="1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I51" i="20"/>
  <c r="AH51" i="20"/>
  <c r="AI50" i="20"/>
  <c r="AH50" i="20"/>
  <c r="AI49" i="20"/>
  <c r="AH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G4" i="20"/>
  <c r="K4" i="20"/>
  <c r="E4" i="20"/>
  <c r="H4" i="20" s="1"/>
  <c r="B4" i="20"/>
  <c r="S243" i="20" s="1"/>
  <c r="AG2" i="20"/>
  <c r="AE111" i="16"/>
  <c r="D232" i="20" l="1"/>
  <c r="E231" i="20"/>
  <c r="B108" i="20"/>
  <c r="J231" i="22"/>
  <c r="H267" i="22"/>
  <c r="D108" i="20"/>
  <c r="J108" i="22"/>
  <c r="M226" i="25"/>
  <c r="L108" i="25"/>
  <c r="K267" i="25"/>
  <c r="M231" i="25"/>
  <c r="N226" i="24"/>
  <c r="M108" i="24"/>
  <c r="O231" i="24"/>
  <c r="M267" i="24"/>
  <c r="J267" i="23"/>
  <c r="L231" i="23"/>
  <c r="K108" i="23"/>
  <c r="M226" i="23"/>
  <c r="L108" i="23"/>
  <c r="K226" i="22"/>
  <c r="J108" i="21"/>
  <c r="K226" i="21"/>
  <c r="K231" i="21"/>
  <c r="I267" i="21"/>
  <c r="AE5" i="20"/>
  <c r="AF87" i="20"/>
  <c r="AF89" i="20" s="1"/>
  <c r="AF90" i="20" s="1"/>
  <c r="AD5" i="20"/>
  <c r="AE87" i="20"/>
  <c r="AE89" i="20" s="1"/>
  <c r="AE90" i="20" s="1"/>
  <c r="AC5" i="20"/>
  <c r="AD87" i="20"/>
  <c r="AD89" i="20" s="1"/>
  <c r="AD7" i="20" s="1"/>
  <c r="AB5" i="20"/>
  <c r="AC87" i="20"/>
  <c r="AC89" i="20" s="1"/>
  <c r="AU246" i="20" s="1"/>
  <c r="AA5" i="20"/>
  <c r="AB87" i="20"/>
  <c r="AB89" i="20" s="1"/>
  <c r="AB90" i="20" s="1"/>
  <c r="Z5" i="20"/>
  <c r="AA87" i="20"/>
  <c r="AA89" i="20" s="1"/>
  <c r="AS246" i="20" s="1"/>
  <c r="Y5" i="20"/>
  <c r="Z87" i="20"/>
  <c r="Z89" i="20" s="1"/>
  <c r="X5" i="20"/>
  <c r="Y87" i="20"/>
  <c r="Y89" i="20" s="1"/>
  <c r="Y7" i="20" s="1"/>
  <c r="W5" i="20"/>
  <c r="X87" i="20"/>
  <c r="X89" i="20" s="1"/>
  <c r="X90" i="20" s="1"/>
  <c r="V5" i="20"/>
  <c r="W87" i="20"/>
  <c r="W89" i="20" s="1"/>
  <c r="W90" i="20" s="1"/>
  <c r="U5" i="20"/>
  <c r="V87" i="20"/>
  <c r="V89" i="20" s="1"/>
  <c r="T5" i="20"/>
  <c r="U87" i="20"/>
  <c r="U89" i="20" s="1"/>
  <c r="AM246" i="20" s="1"/>
  <c r="S5" i="20"/>
  <c r="T87" i="20"/>
  <c r="T89" i="20" s="1"/>
  <c r="AL246" i="20" s="1"/>
  <c r="R5" i="20"/>
  <c r="S87" i="20"/>
  <c r="S89" i="20" s="1"/>
  <c r="S90" i="20" s="1"/>
  <c r="Q5" i="20"/>
  <c r="R87" i="20"/>
  <c r="R89" i="20" s="1"/>
  <c r="P5" i="20"/>
  <c r="Q87" i="20"/>
  <c r="Q89" i="20" s="1"/>
  <c r="Q90" i="20" s="1"/>
  <c r="O5" i="20"/>
  <c r="P87" i="20"/>
  <c r="P89" i="20" s="1"/>
  <c r="AH246" i="20" s="1"/>
  <c r="N5" i="20"/>
  <c r="O87" i="20"/>
  <c r="O89" i="20" s="1"/>
  <c r="O7" i="20" s="1"/>
  <c r="M5" i="20"/>
  <c r="N87" i="20"/>
  <c r="N89" i="20" s="1"/>
  <c r="AI70" i="20"/>
  <c r="L5" i="20"/>
  <c r="M87" i="20"/>
  <c r="M89" i="20" s="1"/>
  <c r="AE246" i="20" s="1"/>
  <c r="K5" i="20"/>
  <c r="L87" i="20"/>
  <c r="L89" i="20" s="1"/>
  <c r="L7" i="20" s="1"/>
  <c r="J5" i="20"/>
  <c r="K87" i="20"/>
  <c r="K89" i="20" s="1"/>
  <c r="K90" i="20" s="1"/>
  <c r="I5" i="20"/>
  <c r="J87" i="20"/>
  <c r="J89" i="20" s="1"/>
  <c r="J7" i="20" s="1"/>
  <c r="H5" i="20"/>
  <c r="I87" i="20"/>
  <c r="I89" i="20" s="1"/>
  <c r="G5" i="20"/>
  <c r="H87" i="20"/>
  <c r="H89" i="20" s="1"/>
  <c r="Z246" i="20" s="1"/>
  <c r="F5" i="20"/>
  <c r="G87" i="20"/>
  <c r="G89" i="20" s="1"/>
  <c r="G7" i="20" s="1"/>
  <c r="E5" i="20"/>
  <c r="F87" i="20"/>
  <c r="F89" i="20" s="1"/>
  <c r="X246" i="20" s="1"/>
  <c r="D5" i="20"/>
  <c r="E87" i="20"/>
  <c r="E89" i="20" s="1"/>
  <c r="W246" i="20" s="1"/>
  <c r="D87" i="20"/>
  <c r="D89" i="20" s="1"/>
  <c r="D90" i="20" s="1"/>
  <c r="B5" i="20"/>
  <c r="C5" i="20"/>
  <c r="AI66" i="20"/>
  <c r="C87" i="20"/>
  <c r="C89" i="20" s="1"/>
  <c r="C7" i="20" s="1"/>
  <c r="AI52" i="20"/>
  <c r="AF5" i="20"/>
  <c r="B87" i="20"/>
  <c r="X7" i="20"/>
  <c r="Q7" i="20"/>
  <c r="Y90" i="20"/>
  <c r="AQ246" i="20"/>
  <c r="AG87" i="20"/>
  <c r="AI98" i="20"/>
  <c r="AH98" i="20"/>
  <c r="J90" i="20"/>
  <c r="R90" i="20"/>
  <c r="R7" i="20"/>
  <c r="AJ246" i="20"/>
  <c r="Z90" i="20"/>
  <c r="Z7" i="20"/>
  <c r="AR246" i="20"/>
  <c r="AK246" i="20"/>
  <c r="J229" i="20"/>
  <c r="K229" i="20" s="1"/>
  <c r="L229" i="20" s="1"/>
  <c r="M229" i="20" s="1"/>
  <c r="N229" i="20" s="1"/>
  <c r="O229" i="20" s="1"/>
  <c r="P229" i="20" s="1"/>
  <c r="V246" i="20"/>
  <c r="T7" i="20"/>
  <c r="B89" i="20"/>
  <c r="AG6" i="20"/>
  <c r="E7" i="20"/>
  <c r="U7" i="20"/>
  <c r="AC7" i="20"/>
  <c r="Y246" i="20"/>
  <c r="G90" i="20"/>
  <c r="F90" i="20"/>
  <c r="N7" i="20"/>
  <c r="AF246" i="20"/>
  <c r="N90" i="20"/>
  <c r="V7" i="20"/>
  <c r="AN246" i="20"/>
  <c r="V90" i="20"/>
  <c r="AG89" i="20"/>
  <c r="AH70" i="20"/>
  <c r="D243" i="20"/>
  <c r="AH66" i="20"/>
  <c r="AH82" i="20"/>
  <c r="E226" i="20"/>
  <c r="AH48" i="20"/>
  <c r="AH52" i="20"/>
  <c r="AI82" i="20"/>
  <c r="AI48" i="20"/>
  <c r="T90" i="20" l="1"/>
  <c r="S7" i="20"/>
  <c r="AI246" i="20"/>
  <c r="AP246" i="20"/>
  <c r="D7" i="20"/>
  <c r="AO246" i="20"/>
  <c r="I267" i="22"/>
  <c r="K231" i="22"/>
  <c r="O90" i="20"/>
  <c r="P7" i="20"/>
  <c r="D267" i="20"/>
  <c r="F231" i="20"/>
  <c r="AW246" i="20"/>
  <c r="U90" i="20"/>
  <c r="AG246" i="20"/>
  <c r="AA7" i="20"/>
  <c r="P90" i="20"/>
  <c r="AA90" i="20"/>
  <c r="AE7" i="20"/>
  <c r="L267" i="25"/>
  <c r="N231" i="25"/>
  <c r="N226" i="25"/>
  <c r="M108" i="25"/>
  <c r="N267" i="24"/>
  <c r="P231" i="24"/>
  <c r="O267" i="24" s="1"/>
  <c r="O226" i="24"/>
  <c r="N108" i="24"/>
  <c r="N226" i="23"/>
  <c r="K267" i="23"/>
  <c r="M231" i="23"/>
  <c r="M108" i="23" s="1"/>
  <c r="L226" i="22"/>
  <c r="L226" i="21"/>
  <c r="K108" i="21"/>
  <c r="J267" i="21"/>
  <c r="L231" i="21"/>
  <c r="AF7" i="20"/>
  <c r="AX246" i="20"/>
  <c r="AC90" i="20"/>
  <c r="AV246" i="20"/>
  <c r="AD90" i="20"/>
  <c r="AT246" i="20"/>
  <c r="AB7" i="20"/>
  <c r="W7" i="20"/>
  <c r="M7" i="20"/>
  <c r="M90" i="20"/>
  <c r="AD246" i="20"/>
  <c r="L90" i="20"/>
  <c r="AC246" i="20"/>
  <c r="K7" i="20"/>
  <c r="C241" i="20"/>
  <c r="AB246" i="20"/>
  <c r="AA246" i="20"/>
  <c r="I7" i="20"/>
  <c r="I90" i="20"/>
  <c r="B241" i="20"/>
  <c r="E90" i="20"/>
  <c r="H7" i="20"/>
  <c r="H90" i="20"/>
  <c r="F7" i="20"/>
  <c r="AH87" i="20"/>
  <c r="U246" i="20"/>
  <c r="C90" i="20"/>
  <c r="AI87" i="20"/>
  <c r="B90" i="20"/>
  <c r="AI89" i="20"/>
  <c r="AH89" i="20"/>
  <c r="B7" i="20"/>
  <c r="T246" i="20"/>
  <c r="F226" i="20"/>
  <c r="E108" i="20"/>
  <c r="E232" i="20"/>
  <c r="L231" i="22" l="1"/>
  <c r="J267" i="22"/>
  <c r="E267" i="20"/>
  <c r="G231" i="20"/>
  <c r="K108" i="22"/>
  <c r="O226" i="25"/>
  <c r="N108" i="25"/>
  <c r="M267" i="25"/>
  <c r="O231" i="25"/>
  <c r="P226" i="24"/>
  <c r="O108" i="24"/>
  <c r="L267" i="23"/>
  <c r="N231" i="23"/>
  <c r="O226" i="23"/>
  <c r="N108" i="23"/>
  <c r="M226" i="22"/>
  <c r="L108" i="22"/>
  <c r="K267" i="21"/>
  <c r="M231" i="21"/>
  <c r="M226" i="21"/>
  <c r="L108" i="21"/>
  <c r="K6" i="20"/>
  <c r="A7" i="20"/>
  <c r="G226" i="20"/>
  <c r="F108" i="20"/>
  <c r="F232" i="20"/>
  <c r="AI90" i="20"/>
  <c r="AH90" i="20"/>
  <c r="F267" i="20" l="1"/>
  <c r="H231" i="20"/>
  <c r="M231" i="22"/>
  <c r="K267" i="22"/>
  <c r="N267" i="25"/>
  <c r="P231" i="25"/>
  <c r="O267" i="25" s="1"/>
  <c r="P226" i="25"/>
  <c r="O108" i="25"/>
  <c r="AI108" i="24"/>
  <c r="AH108" i="24"/>
  <c r="P226" i="23"/>
  <c r="M267" i="23"/>
  <c r="O231" i="23"/>
  <c r="M108" i="22"/>
  <c r="N226" i="22"/>
  <c r="N226" i="21"/>
  <c r="M108" i="21"/>
  <c r="L267" i="21"/>
  <c r="N231" i="21"/>
  <c r="H226" i="20"/>
  <c r="G108" i="20"/>
  <c r="G232" i="20"/>
  <c r="L267" i="22" l="1"/>
  <c r="N231" i="22"/>
  <c r="G267" i="20"/>
  <c r="I231" i="20"/>
  <c r="AH108" i="25"/>
  <c r="AI108" i="25"/>
  <c r="N267" i="23"/>
  <c r="P231" i="23"/>
  <c r="O267" i="23" s="1"/>
  <c r="O108" i="23"/>
  <c r="O226" i="22"/>
  <c r="N108" i="22"/>
  <c r="M267" i="21"/>
  <c r="O231" i="21"/>
  <c r="N108" i="21"/>
  <c r="O226" i="21"/>
  <c r="I226" i="20"/>
  <c r="H108" i="20"/>
  <c r="H232" i="20"/>
  <c r="H267" i="20" l="1"/>
  <c r="J231" i="20"/>
  <c r="M267" i="22"/>
  <c r="O231" i="22"/>
  <c r="AH108" i="23"/>
  <c r="AI108" i="23"/>
  <c r="P226" i="22"/>
  <c r="O108" i="22"/>
  <c r="P231" i="21"/>
  <c r="O267" i="21" s="1"/>
  <c r="N267" i="21"/>
  <c r="P226" i="21"/>
  <c r="O108" i="21"/>
  <c r="I108" i="20"/>
  <c r="J226" i="20"/>
  <c r="N267" i="22" l="1"/>
  <c r="P231" i="22"/>
  <c r="O267" i="22" s="1"/>
  <c r="K231" i="20"/>
  <c r="I267" i="20"/>
  <c r="AI108" i="22"/>
  <c r="AH108" i="22"/>
  <c r="AI108" i="21"/>
  <c r="AH108" i="21"/>
  <c r="J108" i="20"/>
  <c r="K226" i="20"/>
  <c r="J267" i="20" l="1"/>
  <c r="L231" i="20"/>
  <c r="L226" i="20"/>
  <c r="K108" i="20"/>
  <c r="K267" i="20" l="1"/>
  <c r="M231" i="20"/>
  <c r="M226" i="20"/>
  <c r="L108" i="20"/>
  <c r="L267" i="20" l="1"/>
  <c r="N231" i="20"/>
  <c r="N226" i="20"/>
  <c r="M108" i="20"/>
  <c r="M267" i="20" l="1"/>
  <c r="O231" i="20"/>
  <c r="O226" i="20"/>
  <c r="N108" i="20"/>
  <c r="N267" i="20" l="1"/>
  <c r="P231" i="20"/>
  <c r="O267" i="20" s="1"/>
  <c r="P226" i="20"/>
  <c r="O108" i="20"/>
  <c r="AI108" i="20" l="1"/>
  <c r="AH108" i="20"/>
  <c r="AI44" i="15" l="1"/>
  <c r="AH44" i="15"/>
  <c r="AI33" i="15" l="1"/>
  <c r="AH33" i="15"/>
  <c r="AI16" i="15"/>
  <c r="AH16" i="15"/>
  <c r="AI11" i="15"/>
  <c r="AH11" i="15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F270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270" i="17"/>
  <c r="AF269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B267" i="17"/>
  <c r="S24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C232" i="17"/>
  <c r="F231" i="17"/>
  <c r="E267" i="17" s="1"/>
  <c r="E231" i="17"/>
  <c r="D267" i="17" s="1"/>
  <c r="D231" i="17"/>
  <c r="C267" i="17" s="1"/>
  <c r="B231" i="17"/>
  <c r="AF267" i="17" s="1"/>
  <c r="D230" i="17"/>
  <c r="E230" i="17" s="1"/>
  <c r="F230" i="17" s="1"/>
  <c r="G230" i="17" s="1"/>
  <c r="H230" i="17" s="1"/>
  <c r="I230" i="17" s="1"/>
  <c r="J230" i="17" s="1"/>
  <c r="K230" i="17" s="1"/>
  <c r="L230" i="17" s="1"/>
  <c r="M230" i="17" s="1"/>
  <c r="N230" i="17" s="1"/>
  <c r="O230" i="17" s="1"/>
  <c r="P230" i="17" s="1"/>
  <c r="B230" i="17"/>
  <c r="D229" i="17"/>
  <c r="E229" i="17" s="1"/>
  <c r="F229" i="17" s="1"/>
  <c r="G229" i="17" s="1"/>
  <c r="H229" i="17" s="1"/>
  <c r="I229" i="17" s="1"/>
  <c r="B229" i="17"/>
  <c r="E228" i="17"/>
  <c r="F228" i="17" s="1"/>
  <c r="G228" i="17" s="1"/>
  <c r="H228" i="17" s="1"/>
  <c r="D228" i="17"/>
  <c r="B228" i="17"/>
  <c r="D227" i="17"/>
  <c r="E227" i="17" s="1"/>
  <c r="F227" i="17" s="1"/>
  <c r="G227" i="17" s="1"/>
  <c r="H227" i="17" s="1"/>
  <c r="I227" i="17" s="1"/>
  <c r="J227" i="17" s="1"/>
  <c r="K227" i="17" s="1"/>
  <c r="L227" i="17" s="1"/>
  <c r="M227" i="17" s="1"/>
  <c r="N227" i="17" s="1"/>
  <c r="O227" i="17" s="1"/>
  <c r="P227" i="17" s="1"/>
  <c r="B227" i="17"/>
  <c r="D226" i="17"/>
  <c r="E226" i="17" s="1"/>
  <c r="B226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D108" i="17"/>
  <c r="C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I100" i="17"/>
  <c r="AH100" i="17"/>
  <c r="AI99" i="17"/>
  <c r="AH99" i="17"/>
  <c r="U98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88" i="17"/>
  <c r="AH88" i="17"/>
  <c r="AI86" i="17"/>
  <c r="AH86" i="17"/>
  <c r="AG86" i="17"/>
  <c r="AI85" i="17"/>
  <c r="AH85" i="17"/>
  <c r="AI84" i="17"/>
  <c r="AH84" i="17"/>
  <c r="AI83" i="17"/>
  <c r="AH83" i="17"/>
  <c r="AN82" i="17"/>
  <c r="AG82" i="17"/>
  <c r="AF82" i="17"/>
  <c r="AF98" i="17" s="1"/>
  <c r="AE82" i="17"/>
  <c r="AE98" i="17" s="1"/>
  <c r="AD82" i="17"/>
  <c r="AC5" i="17" s="1"/>
  <c r="AC82" i="17"/>
  <c r="AC98" i="17" s="1"/>
  <c r="AB82" i="17"/>
  <c r="AB98" i="17" s="1"/>
  <c r="AA82" i="17"/>
  <c r="AA98" i="17" s="1"/>
  <c r="Z82" i="17"/>
  <c r="Z98" i="17" s="1"/>
  <c r="Y82" i="17"/>
  <c r="Y98" i="17" s="1"/>
  <c r="X82" i="17"/>
  <c r="X98" i="17" s="1"/>
  <c r="W82" i="17"/>
  <c r="W98" i="17" s="1"/>
  <c r="V82" i="17"/>
  <c r="U5" i="17" s="1"/>
  <c r="U82" i="17"/>
  <c r="T82" i="17"/>
  <c r="T98" i="17" s="1"/>
  <c r="S82" i="17"/>
  <c r="S98" i="17" s="1"/>
  <c r="R82" i="17"/>
  <c r="R98" i="17" s="1"/>
  <c r="Q82" i="17"/>
  <c r="Q98" i="17" s="1"/>
  <c r="P82" i="17"/>
  <c r="P98" i="17" s="1"/>
  <c r="O82" i="17"/>
  <c r="O98" i="17" s="1"/>
  <c r="N82" i="17"/>
  <c r="M5" i="17" s="1"/>
  <c r="M82" i="17"/>
  <c r="M98" i="17" s="1"/>
  <c r="L82" i="17"/>
  <c r="L98" i="17" s="1"/>
  <c r="K82" i="17"/>
  <c r="J5" i="17" s="1"/>
  <c r="J82" i="17"/>
  <c r="J98" i="17" s="1"/>
  <c r="I82" i="17"/>
  <c r="I98" i="17" s="1"/>
  <c r="H82" i="17"/>
  <c r="H98" i="17" s="1"/>
  <c r="G82" i="17"/>
  <c r="G98" i="17" s="1"/>
  <c r="F82" i="17"/>
  <c r="E5" i="17" s="1"/>
  <c r="E82" i="17"/>
  <c r="D5" i="17" s="1"/>
  <c r="D82" i="17"/>
  <c r="D98" i="17" s="1"/>
  <c r="C82" i="17"/>
  <c r="C98" i="17" s="1"/>
  <c r="B82" i="17"/>
  <c r="B98" i="17" s="1"/>
  <c r="AI81" i="17"/>
  <c r="AH81" i="17"/>
  <c r="AN80" i="17"/>
  <c r="AN81" i="17" s="1"/>
  <c r="AI80" i="17"/>
  <c r="AH80" i="17"/>
  <c r="AN79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I72" i="17"/>
  <c r="AH72" i="17"/>
  <c r="AI71" i="17"/>
  <c r="AH71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B70" i="17"/>
  <c r="AI69" i="17"/>
  <c r="AH69" i="17"/>
  <c r="AI68" i="17"/>
  <c r="AH68" i="17"/>
  <c r="AI67" i="17"/>
  <c r="AH67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I65" i="17"/>
  <c r="AH65" i="17"/>
  <c r="AG65" i="17"/>
  <c r="AG66" i="17" s="1"/>
  <c r="AG3" i="17" s="1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I51" i="17"/>
  <c r="AH51" i="17"/>
  <c r="AI50" i="17"/>
  <c r="AH50" i="17"/>
  <c r="AI49" i="17"/>
  <c r="AH49" i="17"/>
  <c r="AG48" i="17"/>
  <c r="AG87" i="17" s="1"/>
  <c r="AF48" i="17"/>
  <c r="AF87" i="17" s="1"/>
  <c r="AF89" i="17" s="1"/>
  <c r="AE48" i="17"/>
  <c r="AD48" i="17"/>
  <c r="AC48" i="17"/>
  <c r="AC87" i="17" s="1"/>
  <c r="AC89" i="17" s="1"/>
  <c r="AB48" i="17"/>
  <c r="AB87" i="17" s="1"/>
  <c r="AB89" i="17" s="1"/>
  <c r="AA48" i="17"/>
  <c r="Z48" i="17"/>
  <c r="Z87" i="17" s="1"/>
  <c r="Z89" i="17" s="1"/>
  <c r="Y48" i="17"/>
  <c r="Y87" i="17" s="1"/>
  <c r="Y89" i="17" s="1"/>
  <c r="X48" i="17"/>
  <c r="X87" i="17" s="1"/>
  <c r="X89" i="17" s="1"/>
  <c r="W48" i="17"/>
  <c r="V48" i="17"/>
  <c r="U48" i="17"/>
  <c r="U87" i="17" s="1"/>
  <c r="U89" i="17" s="1"/>
  <c r="T48" i="17"/>
  <c r="T87" i="17" s="1"/>
  <c r="T89" i="17" s="1"/>
  <c r="S48" i="17"/>
  <c r="R48" i="17"/>
  <c r="R87" i="17" s="1"/>
  <c r="R89" i="17" s="1"/>
  <c r="Q48" i="17"/>
  <c r="Q87" i="17" s="1"/>
  <c r="Q89" i="17" s="1"/>
  <c r="P48" i="17"/>
  <c r="P87" i="17" s="1"/>
  <c r="P89" i="17" s="1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AE5" i="17"/>
  <c r="AB5" i="17"/>
  <c r="AA5" i="17"/>
  <c r="Z5" i="17"/>
  <c r="Y5" i="17"/>
  <c r="X5" i="17"/>
  <c r="W5" i="17"/>
  <c r="T5" i="17"/>
  <c r="S5" i="17"/>
  <c r="R5" i="17"/>
  <c r="Q5" i="17"/>
  <c r="P5" i="17"/>
  <c r="O5" i="17"/>
  <c r="AG4" i="17"/>
  <c r="K4" i="17"/>
  <c r="E4" i="17"/>
  <c r="H4" i="17" s="1"/>
  <c r="B4" i="17"/>
  <c r="S243" i="17" s="1"/>
  <c r="AG2" i="17"/>
  <c r="AG6" i="17" s="1"/>
  <c r="AI44" i="16"/>
  <c r="AH44" i="16"/>
  <c r="AI33" i="16"/>
  <c r="AH33" i="16"/>
  <c r="AH14" i="16"/>
  <c r="AI14" i="16"/>
  <c r="AH16" i="16"/>
  <c r="AI16" i="16"/>
  <c r="AH11" i="16"/>
  <c r="AI11" i="16"/>
  <c r="B82" i="16"/>
  <c r="B98" i="16" s="1"/>
  <c r="B70" i="16"/>
  <c r="B66" i="16"/>
  <c r="B52" i="16"/>
  <c r="B48" i="16"/>
  <c r="AF271" i="16"/>
  <c r="AE271" i="16"/>
  <c r="AD271" i="16"/>
  <c r="AC271" i="16"/>
  <c r="AB271" i="16"/>
  <c r="AA271" i="16"/>
  <c r="Z271" i="16"/>
  <c r="Y271" i="16"/>
  <c r="X271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A271" i="16"/>
  <c r="AF270" i="16"/>
  <c r="AE270" i="16"/>
  <c r="AD270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B270" i="16"/>
  <c r="A270" i="16"/>
  <c r="AF269" i="16"/>
  <c r="AE269" i="16"/>
  <c r="AD269" i="16"/>
  <c r="AC269" i="16"/>
  <c r="AB269" i="16"/>
  <c r="AA269" i="16"/>
  <c r="Z269" i="16"/>
  <c r="Y269" i="16"/>
  <c r="X269" i="16"/>
  <c r="W269" i="16"/>
  <c r="V269" i="16"/>
  <c r="U269" i="16"/>
  <c r="T269" i="16"/>
  <c r="S269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C269" i="16"/>
  <c r="B269" i="16"/>
  <c r="A269" i="16"/>
  <c r="AF268" i="16"/>
  <c r="AE268" i="16"/>
  <c r="AD268" i="16"/>
  <c r="AC268" i="16"/>
  <c r="AB268" i="16"/>
  <c r="AA268" i="16"/>
  <c r="Z268" i="16"/>
  <c r="Y268" i="16"/>
  <c r="X268" i="16"/>
  <c r="W268" i="16"/>
  <c r="V268" i="16"/>
  <c r="U268" i="16"/>
  <c r="T268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C268" i="16"/>
  <c r="B268" i="16"/>
  <c r="A268" i="16"/>
  <c r="AE267" i="16"/>
  <c r="AD267" i="16"/>
  <c r="AC267" i="16"/>
  <c r="AB267" i="16"/>
  <c r="AA267" i="16"/>
  <c r="Z267" i="16"/>
  <c r="Y267" i="16"/>
  <c r="X267" i="16"/>
  <c r="W267" i="16"/>
  <c r="V267" i="16"/>
  <c r="U267" i="16"/>
  <c r="T267" i="16"/>
  <c r="S267" i="16"/>
  <c r="R267" i="16"/>
  <c r="Q267" i="16"/>
  <c r="P267" i="16"/>
  <c r="B267" i="16"/>
  <c r="S242" i="16"/>
  <c r="AG232" i="16"/>
  <c r="AF232" i="16"/>
  <c r="AE232" i="16"/>
  <c r="AD232" i="16"/>
  <c r="AC232" i="16"/>
  <c r="AB232" i="16"/>
  <c r="AA232" i="16"/>
  <c r="Z232" i="16"/>
  <c r="Y232" i="16"/>
  <c r="X232" i="16"/>
  <c r="W232" i="16"/>
  <c r="V232" i="16"/>
  <c r="U232" i="16"/>
  <c r="T232" i="16"/>
  <c r="S232" i="16"/>
  <c r="R232" i="16"/>
  <c r="Q232" i="16"/>
  <c r="C232" i="16"/>
  <c r="D231" i="16"/>
  <c r="C267" i="16" s="1"/>
  <c r="B231" i="16"/>
  <c r="AF267" i="16" s="1"/>
  <c r="D230" i="16"/>
  <c r="E230" i="16" s="1"/>
  <c r="F230" i="16" s="1"/>
  <c r="G230" i="16" s="1"/>
  <c r="H230" i="16" s="1"/>
  <c r="I230" i="16" s="1"/>
  <c r="J230" i="16" s="1"/>
  <c r="K230" i="16" s="1"/>
  <c r="L230" i="16" s="1"/>
  <c r="M230" i="16" s="1"/>
  <c r="N230" i="16" s="1"/>
  <c r="O230" i="16" s="1"/>
  <c r="P230" i="16" s="1"/>
  <c r="B230" i="16"/>
  <c r="E229" i="16"/>
  <c r="F229" i="16" s="1"/>
  <c r="G229" i="16" s="1"/>
  <c r="H229" i="16" s="1"/>
  <c r="I229" i="16" s="1"/>
  <c r="D229" i="16"/>
  <c r="B229" i="16"/>
  <c r="D228" i="16"/>
  <c r="E228" i="16" s="1"/>
  <c r="F228" i="16" s="1"/>
  <c r="G228" i="16" s="1"/>
  <c r="H228" i="16" s="1"/>
  <c r="B228" i="16"/>
  <c r="D227" i="16"/>
  <c r="E227" i="16" s="1"/>
  <c r="F227" i="16" s="1"/>
  <c r="G227" i="16" s="1"/>
  <c r="H227" i="16" s="1"/>
  <c r="I227" i="16" s="1"/>
  <c r="J227" i="16" s="1"/>
  <c r="K227" i="16" s="1"/>
  <c r="L227" i="16" s="1"/>
  <c r="M227" i="16" s="1"/>
  <c r="N227" i="16" s="1"/>
  <c r="O227" i="16" s="1"/>
  <c r="P227" i="16" s="1"/>
  <c r="B227" i="16"/>
  <c r="D226" i="16"/>
  <c r="B226" i="16"/>
  <c r="AG224" i="16"/>
  <c r="AF224" i="16"/>
  <c r="AE224" i="16"/>
  <c r="AD224" i="16"/>
  <c r="AC224" i="16"/>
  <c r="AB224" i="16"/>
  <c r="AA224" i="16"/>
  <c r="Z224" i="16"/>
  <c r="Y224" i="16"/>
  <c r="X224" i="16"/>
  <c r="W224" i="16"/>
  <c r="V224" i="16"/>
  <c r="U224" i="16"/>
  <c r="T224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B224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D108" i="16"/>
  <c r="C108" i="16"/>
  <c r="AI107" i="16"/>
  <c r="AH107" i="16"/>
  <c r="AI106" i="16"/>
  <c r="AH106" i="16"/>
  <c r="AI105" i="16"/>
  <c r="AH105" i="16"/>
  <c r="AI104" i="16"/>
  <c r="AH104" i="16"/>
  <c r="AI103" i="16"/>
  <c r="AH103" i="16"/>
  <c r="AI102" i="16"/>
  <c r="AH102" i="16"/>
  <c r="AI101" i="16"/>
  <c r="AH101" i="16"/>
  <c r="AI100" i="16"/>
  <c r="AH100" i="16"/>
  <c r="AI99" i="16"/>
  <c r="AH99" i="16"/>
  <c r="AI97" i="16"/>
  <c r="AH97" i="16"/>
  <c r="AI96" i="16"/>
  <c r="AH96" i="16"/>
  <c r="AI95" i="16"/>
  <c r="AH95" i="16"/>
  <c r="AI94" i="16"/>
  <c r="AH94" i="16"/>
  <c r="AI93" i="16"/>
  <c r="AH93" i="16"/>
  <c r="AI92" i="16"/>
  <c r="AH92" i="16"/>
  <c r="AI91" i="16"/>
  <c r="AH91" i="16"/>
  <c r="AI88" i="16"/>
  <c r="AH88" i="16"/>
  <c r="AI86" i="16"/>
  <c r="AH86" i="16"/>
  <c r="AG86" i="16"/>
  <c r="AI85" i="16"/>
  <c r="AH85" i="16"/>
  <c r="AI84" i="16"/>
  <c r="AH84" i="16"/>
  <c r="AI83" i="16"/>
  <c r="AH83" i="16"/>
  <c r="AN82" i="16"/>
  <c r="AG82" i="16"/>
  <c r="AF98" i="16"/>
  <c r="AE82" i="16"/>
  <c r="AE98" i="16" s="1"/>
  <c r="AD82" i="16"/>
  <c r="AD98" i="16" s="1"/>
  <c r="AC82" i="16"/>
  <c r="AC98" i="16" s="1"/>
  <c r="AB82" i="16"/>
  <c r="AB98" i="16" s="1"/>
  <c r="AA82" i="16"/>
  <c r="AA98" i="16" s="1"/>
  <c r="Z82" i="16"/>
  <c r="Z98" i="16" s="1"/>
  <c r="Y82" i="16"/>
  <c r="Y98" i="16" s="1"/>
  <c r="X82" i="16"/>
  <c r="X98" i="16" s="1"/>
  <c r="W82" i="16"/>
  <c r="W98" i="16" s="1"/>
  <c r="V82" i="16"/>
  <c r="V98" i="16" s="1"/>
  <c r="U82" i="16"/>
  <c r="U98" i="16" s="1"/>
  <c r="T82" i="16"/>
  <c r="T98" i="16" s="1"/>
  <c r="S82" i="16"/>
  <c r="S98" i="16" s="1"/>
  <c r="R82" i="16"/>
  <c r="Q5" i="16" s="1"/>
  <c r="Q82" i="16"/>
  <c r="Q98" i="16" s="1"/>
  <c r="P82" i="16"/>
  <c r="P98" i="16" s="1"/>
  <c r="O82" i="16"/>
  <c r="O98" i="16" s="1"/>
  <c r="N82" i="16"/>
  <c r="N98" i="16" s="1"/>
  <c r="M82" i="16"/>
  <c r="M98" i="16" s="1"/>
  <c r="L82" i="16"/>
  <c r="L98" i="16" s="1"/>
  <c r="K82" i="16"/>
  <c r="K98" i="16" s="1"/>
  <c r="J82" i="16"/>
  <c r="J98" i="16" s="1"/>
  <c r="I82" i="16"/>
  <c r="I98" i="16" s="1"/>
  <c r="H82" i="16"/>
  <c r="H98" i="16" s="1"/>
  <c r="G82" i="16"/>
  <c r="G98" i="16" s="1"/>
  <c r="F82" i="16"/>
  <c r="F98" i="16" s="1"/>
  <c r="E82" i="16"/>
  <c r="E98" i="16" s="1"/>
  <c r="D82" i="16"/>
  <c r="D98" i="16" s="1"/>
  <c r="C82" i="16"/>
  <c r="C98" i="16" s="1"/>
  <c r="AI81" i="16"/>
  <c r="AH81" i="16"/>
  <c r="AN80" i="16"/>
  <c r="AI80" i="16"/>
  <c r="AH80" i="16"/>
  <c r="AN79" i="16"/>
  <c r="AN81" i="16" s="1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I72" i="16"/>
  <c r="AH72" i="16"/>
  <c r="AI71" i="16"/>
  <c r="AH71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AI69" i="16"/>
  <c r="AH69" i="16"/>
  <c r="AI68" i="16"/>
  <c r="AH68" i="16"/>
  <c r="AI67" i="16"/>
  <c r="AH67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AI65" i="16"/>
  <c r="AH65" i="16"/>
  <c r="AG65" i="16"/>
  <c r="AG66" i="16" s="1"/>
  <c r="AG3" i="16" s="1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I51" i="16"/>
  <c r="AH51" i="16"/>
  <c r="AI50" i="16"/>
  <c r="AH50" i="16"/>
  <c r="AI49" i="16"/>
  <c r="AH49" i="16"/>
  <c r="AG48" i="16"/>
  <c r="AG2" i="16" s="1"/>
  <c r="AF48" i="16"/>
  <c r="AF87" i="16" s="1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AI47" i="16"/>
  <c r="AH47" i="16"/>
  <c r="AI46" i="16"/>
  <c r="AH46" i="16"/>
  <c r="AI45" i="16"/>
  <c r="AH45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5" i="16"/>
  <c r="AH15" i="16"/>
  <c r="AI13" i="16"/>
  <c r="AH13" i="16"/>
  <c r="AI12" i="16"/>
  <c r="AH12" i="16"/>
  <c r="AA5" i="16"/>
  <c r="Y5" i="16"/>
  <c r="W5" i="16"/>
  <c r="S5" i="16"/>
  <c r="J5" i="16"/>
  <c r="I5" i="16"/>
  <c r="AG4" i="16"/>
  <c r="K4" i="16"/>
  <c r="E4" i="16"/>
  <c r="H4" i="16" s="1"/>
  <c r="B4" i="16"/>
  <c r="S243" i="16" s="1"/>
  <c r="AB82" i="15"/>
  <c r="Y82" i="15"/>
  <c r="Z82" i="15"/>
  <c r="Y70" i="15"/>
  <c r="Z70" i="15"/>
  <c r="Y66" i="15"/>
  <c r="Z66" i="15"/>
  <c r="AA66" i="15"/>
  <c r="X52" i="15"/>
  <c r="Y52" i="15"/>
  <c r="Z52" i="15"/>
  <c r="X48" i="15"/>
  <c r="Y48" i="15"/>
  <c r="Z48" i="15"/>
  <c r="AH12" i="15"/>
  <c r="AI12" i="15"/>
  <c r="X111" i="15"/>
  <c r="W111" i="15"/>
  <c r="V111" i="15"/>
  <c r="U70" i="15"/>
  <c r="AD5" i="17" l="1"/>
  <c r="E231" i="16"/>
  <c r="D267" i="16" s="1"/>
  <c r="V5" i="17"/>
  <c r="N87" i="17"/>
  <c r="N89" i="17" s="1"/>
  <c r="V87" i="17"/>
  <c r="V89" i="17" s="1"/>
  <c r="AD87" i="17"/>
  <c r="AD89" i="17" s="1"/>
  <c r="AD7" i="17" s="1"/>
  <c r="AG89" i="17"/>
  <c r="N5" i="17"/>
  <c r="O87" i="17"/>
  <c r="O89" i="17" s="1"/>
  <c r="W87" i="17"/>
  <c r="W89" i="17" s="1"/>
  <c r="AE87" i="17"/>
  <c r="AE89" i="17" s="1"/>
  <c r="B87" i="17"/>
  <c r="B232" i="17"/>
  <c r="B108" i="16"/>
  <c r="B108" i="17"/>
  <c r="D232" i="17"/>
  <c r="S87" i="17"/>
  <c r="S89" i="17" s="1"/>
  <c r="AA87" i="17"/>
  <c r="AA89" i="17" s="1"/>
  <c r="L5" i="17"/>
  <c r="M87" i="17"/>
  <c r="M89" i="17" s="1"/>
  <c r="M7" i="17" s="1"/>
  <c r="K5" i="17"/>
  <c r="AI70" i="17"/>
  <c r="L87" i="17"/>
  <c r="L89" i="17" s="1"/>
  <c r="K87" i="17"/>
  <c r="K89" i="17" s="1"/>
  <c r="K98" i="17"/>
  <c r="I5" i="17"/>
  <c r="J87" i="17"/>
  <c r="J89" i="17" s="1"/>
  <c r="AB246" i="17" s="1"/>
  <c r="H5" i="17"/>
  <c r="I87" i="17"/>
  <c r="I89" i="17" s="1"/>
  <c r="AA246" i="17" s="1"/>
  <c r="G5" i="17"/>
  <c r="H87" i="17"/>
  <c r="H89" i="17" s="1"/>
  <c r="F5" i="17"/>
  <c r="G87" i="17"/>
  <c r="G89" i="17" s="1"/>
  <c r="F87" i="17"/>
  <c r="F89" i="17" s="1"/>
  <c r="E98" i="17"/>
  <c r="E87" i="17"/>
  <c r="E89" i="17" s="1"/>
  <c r="W246" i="17" s="1"/>
  <c r="C5" i="17"/>
  <c r="D87" i="17"/>
  <c r="D89" i="17" s="1"/>
  <c r="D90" i="17" s="1"/>
  <c r="B5" i="17"/>
  <c r="AI66" i="17"/>
  <c r="AI52" i="17"/>
  <c r="AI48" i="17"/>
  <c r="AE5" i="16"/>
  <c r="AF89" i="16"/>
  <c r="AF90" i="16" s="1"/>
  <c r="AD5" i="16"/>
  <c r="AE87" i="16"/>
  <c r="AE89" i="16" s="1"/>
  <c r="AW246" i="16" s="1"/>
  <c r="AC5" i="16"/>
  <c r="AB5" i="16"/>
  <c r="AB87" i="16"/>
  <c r="AB89" i="16" s="1"/>
  <c r="Z5" i="16"/>
  <c r="AA87" i="16"/>
  <c r="AA89" i="16" s="1"/>
  <c r="X87" i="16"/>
  <c r="X89" i="16" s="1"/>
  <c r="X5" i="16"/>
  <c r="V5" i="16"/>
  <c r="U5" i="16"/>
  <c r="W87" i="16"/>
  <c r="W89" i="16" s="1"/>
  <c r="AO246" i="16" s="1"/>
  <c r="T5" i="16"/>
  <c r="T87" i="16"/>
  <c r="T89" i="16" s="1"/>
  <c r="T90" i="16" s="1"/>
  <c r="S87" i="16"/>
  <c r="S89" i="16" s="1"/>
  <c r="R5" i="16"/>
  <c r="R98" i="16"/>
  <c r="P5" i="16"/>
  <c r="O5" i="16"/>
  <c r="P87" i="16"/>
  <c r="P89" i="16" s="1"/>
  <c r="P7" i="16" s="1"/>
  <c r="O87" i="16"/>
  <c r="O89" i="16" s="1"/>
  <c r="O7" i="16" s="1"/>
  <c r="N5" i="16"/>
  <c r="M5" i="16"/>
  <c r="L5" i="16"/>
  <c r="AI70" i="16"/>
  <c r="AH70" i="16"/>
  <c r="K87" i="16"/>
  <c r="K89" i="16" s="1"/>
  <c r="H5" i="16"/>
  <c r="G5" i="16"/>
  <c r="H87" i="16"/>
  <c r="H89" i="16" s="1"/>
  <c r="L87" i="16"/>
  <c r="L89" i="16" s="1"/>
  <c r="AD246" i="16" s="1"/>
  <c r="K5" i="16"/>
  <c r="F5" i="16"/>
  <c r="G87" i="16"/>
  <c r="G89" i="16" s="1"/>
  <c r="Y246" i="16" s="1"/>
  <c r="E5" i="16"/>
  <c r="D5" i="16"/>
  <c r="AH52" i="16"/>
  <c r="Y87" i="15"/>
  <c r="C5" i="16"/>
  <c r="AH66" i="17"/>
  <c r="AH52" i="17"/>
  <c r="AH48" i="17"/>
  <c r="T90" i="17"/>
  <c r="T7" i="17"/>
  <c r="AL246" i="17"/>
  <c r="E7" i="17"/>
  <c r="U7" i="17"/>
  <c r="AM246" i="17"/>
  <c r="U90" i="17"/>
  <c r="AC7" i="17"/>
  <c r="AU246" i="17"/>
  <c r="AC90" i="17"/>
  <c r="F226" i="17"/>
  <c r="E108" i="17"/>
  <c r="E232" i="17"/>
  <c r="V246" i="17"/>
  <c r="AB90" i="17"/>
  <c r="AB7" i="17"/>
  <c r="AT246" i="17"/>
  <c r="F7" i="17"/>
  <c r="X246" i="17"/>
  <c r="F90" i="17"/>
  <c r="N7" i="17"/>
  <c r="AF246" i="17"/>
  <c r="N90" i="17"/>
  <c r="V7" i="17"/>
  <c r="AN246" i="17"/>
  <c r="V90" i="17"/>
  <c r="AG246" i="17"/>
  <c r="O90" i="17"/>
  <c r="O7" i="17"/>
  <c r="AO246" i="17"/>
  <c r="W90" i="17"/>
  <c r="W7" i="17"/>
  <c r="AW246" i="17"/>
  <c r="AE90" i="17"/>
  <c r="AE7" i="17"/>
  <c r="J229" i="17"/>
  <c r="K229" i="17" s="1"/>
  <c r="L229" i="17" s="1"/>
  <c r="M229" i="17" s="1"/>
  <c r="N229" i="17" s="1"/>
  <c r="O229" i="17" s="1"/>
  <c r="P229" i="17" s="1"/>
  <c r="H90" i="17"/>
  <c r="H7" i="17"/>
  <c r="Z246" i="17"/>
  <c r="P90" i="17"/>
  <c r="P7" i="17"/>
  <c r="AH246" i="17"/>
  <c r="X90" i="17"/>
  <c r="X7" i="17"/>
  <c r="AP246" i="17"/>
  <c r="AF90" i="17"/>
  <c r="AF7" i="17"/>
  <c r="AX246" i="17"/>
  <c r="Z90" i="17"/>
  <c r="Z7" i="17"/>
  <c r="AR246" i="17"/>
  <c r="I90" i="17"/>
  <c r="I7" i="17"/>
  <c r="Q90" i="17"/>
  <c r="Q7" i="17"/>
  <c r="AI246" i="17"/>
  <c r="Y90" i="17"/>
  <c r="Y7" i="17"/>
  <c r="AQ246" i="17"/>
  <c r="L90" i="17"/>
  <c r="L7" i="17"/>
  <c r="AD246" i="17"/>
  <c r="Y246" i="17"/>
  <c r="G90" i="17"/>
  <c r="G7" i="17"/>
  <c r="K90" i="17"/>
  <c r="K7" i="17"/>
  <c r="AC246" i="17"/>
  <c r="S90" i="17"/>
  <c r="S7" i="17"/>
  <c r="AK246" i="17"/>
  <c r="AA90" i="17"/>
  <c r="AA7" i="17"/>
  <c r="AS246" i="17"/>
  <c r="R90" i="17"/>
  <c r="R7" i="17"/>
  <c r="AJ246" i="17"/>
  <c r="AH70" i="17"/>
  <c r="C87" i="17"/>
  <c r="C89" i="17" s="1"/>
  <c r="F98" i="17"/>
  <c r="N98" i="17"/>
  <c r="V98" i="17"/>
  <c r="AD98" i="17"/>
  <c r="D243" i="17"/>
  <c r="AH82" i="17"/>
  <c r="B89" i="17"/>
  <c r="G231" i="17"/>
  <c r="AI82" i="17"/>
  <c r="B5" i="16"/>
  <c r="D87" i="16"/>
  <c r="D89" i="16" s="1"/>
  <c r="D90" i="16" s="1"/>
  <c r="I87" i="16"/>
  <c r="I89" i="16" s="1"/>
  <c r="I90" i="16" s="1"/>
  <c r="Q87" i="16"/>
  <c r="Q89" i="16" s="1"/>
  <c r="AI246" i="16" s="1"/>
  <c r="Y87" i="16"/>
  <c r="Y89" i="16" s="1"/>
  <c r="Y7" i="16" s="1"/>
  <c r="AG87" i="16"/>
  <c r="AI52" i="16"/>
  <c r="J87" i="16"/>
  <c r="J89" i="16" s="1"/>
  <c r="J7" i="16" s="1"/>
  <c r="R87" i="16"/>
  <c r="R89" i="16" s="1"/>
  <c r="R7" i="16" s="1"/>
  <c r="Z87" i="16"/>
  <c r="Z89" i="16" s="1"/>
  <c r="Z90" i="16" s="1"/>
  <c r="D232" i="16"/>
  <c r="E87" i="16"/>
  <c r="E89" i="16" s="1"/>
  <c r="W246" i="16" s="1"/>
  <c r="M87" i="16"/>
  <c r="M89" i="16" s="1"/>
  <c r="M7" i="16" s="1"/>
  <c r="U87" i="16"/>
  <c r="U89" i="16" s="1"/>
  <c r="AM246" i="16" s="1"/>
  <c r="AC87" i="16"/>
  <c r="AC89" i="16" s="1"/>
  <c r="AC90" i="16" s="1"/>
  <c r="F87" i="16"/>
  <c r="F89" i="16" s="1"/>
  <c r="F90" i="16" s="1"/>
  <c r="N87" i="16"/>
  <c r="N89" i="16" s="1"/>
  <c r="AF246" i="16" s="1"/>
  <c r="V87" i="16"/>
  <c r="V89" i="16" s="1"/>
  <c r="AN246" i="16" s="1"/>
  <c r="AD87" i="16"/>
  <c r="AD89" i="16" s="1"/>
  <c r="AD90" i="16" s="1"/>
  <c r="AG6" i="16"/>
  <c r="B232" i="16"/>
  <c r="AI66" i="16"/>
  <c r="AI48" i="16"/>
  <c r="AG89" i="16"/>
  <c r="B87" i="16"/>
  <c r="B89" i="16" s="1"/>
  <c r="B90" i="16" s="1"/>
  <c r="AF5" i="16"/>
  <c r="AH82" i="16"/>
  <c r="K90" i="16"/>
  <c r="K7" i="16"/>
  <c r="AC246" i="16"/>
  <c r="AA90" i="16"/>
  <c r="AA7" i="16"/>
  <c r="AS246" i="16"/>
  <c r="S90" i="16"/>
  <c r="S7" i="16"/>
  <c r="AK246" i="16"/>
  <c r="L90" i="16"/>
  <c r="L7" i="16"/>
  <c r="AL246" i="16"/>
  <c r="AB90" i="16"/>
  <c r="AB7" i="16"/>
  <c r="AT246" i="16"/>
  <c r="Q7" i="16"/>
  <c r="AI98" i="16"/>
  <c r="J229" i="16"/>
  <c r="K229" i="16" s="1"/>
  <c r="L229" i="16" s="1"/>
  <c r="M229" i="16" s="1"/>
  <c r="N229" i="16" s="1"/>
  <c r="O229" i="16" s="1"/>
  <c r="P229" i="16" s="1"/>
  <c r="H90" i="16"/>
  <c r="H7" i="16"/>
  <c r="Z246" i="16"/>
  <c r="X90" i="16"/>
  <c r="X7" i="16"/>
  <c r="AP246" i="16"/>
  <c r="AX246" i="16"/>
  <c r="C87" i="16"/>
  <c r="C89" i="16" s="1"/>
  <c r="D243" i="16"/>
  <c r="AH66" i="16"/>
  <c r="F231" i="16"/>
  <c r="AH98" i="16"/>
  <c r="E226" i="16"/>
  <c r="AI82" i="16"/>
  <c r="AH48" i="16"/>
  <c r="Z87" i="15"/>
  <c r="S111" i="15"/>
  <c r="P111" i="15"/>
  <c r="P48" i="15"/>
  <c r="M111" i="15"/>
  <c r="M48" i="15"/>
  <c r="M52" i="15"/>
  <c r="M66" i="15"/>
  <c r="M70" i="15"/>
  <c r="M82" i="15"/>
  <c r="M98" i="15" s="1"/>
  <c r="AE7" i="16" l="1"/>
  <c r="AD90" i="17"/>
  <c r="D7" i="17"/>
  <c r="AE90" i="16"/>
  <c r="AV246" i="17"/>
  <c r="AI98" i="17"/>
  <c r="G7" i="16"/>
  <c r="G90" i="16"/>
  <c r="M90" i="17"/>
  <c r="AE246" i="17"/>
  <c r="C241" i="17"/>
  <c r="K6" i="17" s="1"/>
  <c r="B241" i="17"/>
  <c r="J7" i="17"/>
  <c r="J90" i="17"/>
  <c r="E90" i="17"/>
  <c r="O90" i="16"/>
  <c r="AG246" i="16"/>
  <c r="P90" i="16"/>
  <c r="AF7" i="16"/>
  <c r="AV246" i="16"/>
  <c r="Y90" i="16"/>
  <c r="AQ246" i="16"/>
  <c r="W90" i="16"/>
  <c r="W7" i="16"/>
  <c r="U90" i="16"/>
  <c r="U7" i="16"/>
  <c r="T7" i="16"/>
  <c r="R90" i="16"/>
  <c r="Q90" i="16"/>
  <c r="AH246" i="16"/>
  <c r="AE246" i="16"/>
  <c r="M90" i="16"/>
  <c r="J90" i="16"/>
  <c r="AB246" i="16"/>
  <c r="X246" i="16"/>
  <c r="E90" i="16"/>
  <c r="E7" i="16"/>
  <c r="V246" i="16"/>
  <c r="D7" i="16"/>
  <c r="AH98" i="17"/>
  <c r="G226" i="17"/>
  <c r="F108" i="17"/>
  <c r="F232" i="17"/>
  <c r="F267" i="17"/>
  <c r="H231" i="17"/>
  <c r="AI87" i="17"/>
  <c r="C90" i="17"/>
  <c r="C7" i="17"/>
  <c r="U246" i="17"/>
  <c r="AH87" i="17"/>
  <c r="B90" i="17"/>
  <c r="AI89" i="17"/>
  <c r="AH89" i="17"/>
  <c r="B7" i="17"/>
  <c r="T246" i="17"/>
  <c r="AA246" i="16"/>
  <c r="AD7" i="16"/>
  <c r="I7" i="16"/>
  <c r="V7" i="16"/>
  <c r="V90" i="16"/>
  <c r="AU246" i="16"/>
  <c r="AC7" i="16"/>
  <c r="C241" i="16"/>
  <c r="B241" i="16"/>
  <c r="N7" i="16"/>
  <c r="AR246" i="16"/>
  <c r="N90" i="16"/>
  <c r="Z7" i="16"/>
  <c r="F7" i="16"/>
  <c r="AJ246" i="16"/>
  <c r="AI87" i="16"/>
  <c r="F226" i="16"/>
  <c r="E108" i="16"/>
  <c r="E232" i="16"/>
  <c r="E267" i="16"/>
  <c r="G231" i="16"/>
  <c r="AI89" i="16"/>
  <c r="B7" i="16"/>
  <c r="AH89" i="16"/>
  <c r="T246" i="16"/>
  <c r="AH87" i="16"/>
  <c r="C90" i="16"/>
  <c r="C7" i="16"/>
  <c r="U246" i="16"/>
  <c r="M87" i="15"/>
  <c r="M89" i="15" s="1"/>
  <c r="M90" i="15" s="1"/>
  <c r="AF271" i="15"/>
  <c r="AE271" i="15"/>
  <c r="AD271" i="15"/>
  <c r="AC271" i="15"/>
  <c r="AB271" i="15"/>
  <c r="AA271" i="15"/>
  <c r="Z271" i="15"/>
  <c r="Y271" i="15"/>
  <c r="X271" i="15"/>
  <c r="W271" i="15"/>
  <c r="V271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AF270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AF269" i="15"/>
  <c r="AE269" i="15"/>
  <c r="AD269" i="15"/>
  <c r="AC269" i="15"/>
  <c r="AB269" i="15"/>
  <c r="AA269" i="15"/>
  <c r="Z269" i="15"/>
  <c r="Y269" i="15"/>
  <c r="X269" i="15"/>
  <c r="W269" i="15"/>
  <c r="V269" i="15"/>
  <c r="U269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AF268" i="15"/>
  <c r="AE268" i="15"/>
  <c r="AD268" i="15"/>
  <c r="AC268" i="15"/>
  <c r="AB268" i="15"/>
  <c r="AA268" i="15"/>
  <c r="Z268" i="15"/>
  <c r="Y268" i="15"/>
  <c r="X268" i="15"/>
  <c r="W268" i="15"/>
  <c r="V268" i="15"/>
  <c r="U268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AE267" i="15"/>
  <c r="AD267" i="15"/>
  <c r="AC267" i="15"/>
  <c r="AB267" i="15"/>
  <c r="AA267" i="15"/>
  <c r="Z267" i="15"/>
  <c r="Y267" i="15"/>
  <c r="X267" i="15"/>
  <c r="W267" i="15"/>
  <c r="V267" i="15"/>
  <c r="U267" i="15"/>
  <c r="T267" i="15"/>
  <c r="S267" i="15"/>
  <c r="R267" i="15"/>
  <c r="Q267" i="15"/>
  <c r="P267" i="15"/>
  <c r="B267" i="15"/>
  <c r="S242" i="15"/>
  <c r="AG232" i="15"/>
  <c r="AF232" i="15"/>
  <c r="AE232" i="15"/>
  <c r="AD232" i="15"/>
  <c r="AC232" i="15"/>
  <c r="AB232" i="15"/>
  <c r="AA232" i="15"/>
  <c r="Z232" i="15"/>
  <c r="Y232" i="15"/>
  <c r="X232" i="15"/>
  <c r="W232" i="15"/>
  <c r="V232" i="15"/>
  <c r="U232" i="15"/>
  <c r="T232" i="15"/>
  <c r="S232" i="15"/>
  <c r="R232" i="15"/>
  <c r="Q232" i="15"/>
  <c r="C232" i="15"/>
  <c r="D231" i="15"/>
  <c r="C267" i="15" s="1"/>
  <c r="B231" i="15"/>
  <c r="AF267" i="15" s="1"/>
  <c r="D230" i="15"/>
  <c r="E230" i="15" s="1"/>
  <c r="F230" i="15" s="1"/>
  <c r="G230" i="15" s="1"/>
  <c r="H230" i="15" s="1"/>
  <c r="I230" i="15" s="1"/>
  <c r="J230" i="15" s="1"/>
  <c r="K230" i="15" s="1"/>
  <c r="L230" i="15" s="1"/>
  <c r="M230" i="15" s="1"/>
  <c r="N230" i="15" s="1"/>
  <c r="O230" i="15" s="1"/>
  <c r="P230" i="15" s="1"/>
  <c r="B230" i="15"/>
  <c r="D229" i="15"/>
  <c r="E229" i="15" s="1"/>
  <c r="F229" i="15" s="1"/>
  <c r="G229" i="15" s="1"/>
  <c r="H229" i="15" s="1"/>
  <c r="I229" i="15" s="1"/>
  <c r="B229" i="15"/>
  <c r="D228" i="15"/>
  <c r="E228" i="15" s="1"/>
  <c r="F228" i="15" s="1"/>
  <c r="G228" i="15" s="1"/>
  <c r="H228" i="15" s="1"/>
  <c r="B228" i="15"/>
  <c r="D227" i="15"/>
  <c r="E227" i="15" s="1"/>
  <c r="F227" i="15" s="1"/>
  <c r="G227" i="15" s="1"/>
  <c r="H227" i="15" s="1"/>
  <c r="I227" i="15" s="1"/>
  <c r="J227" i="15" s="1"/>
  <c r="K227" i="15" s="1"/>
  <c r="L227" i="15" s="1"/>
  <c r="M227" i="15" s="1"/>
  <c r="N227" i="15" s="1"/>
  <c r="O227" i="15" s="1"/>
  <c r="P227" i="15" s="1"/>
  <c r="B227" i="15"/>
  <c r="D226" i="15"/>
  <c r="E226" i="15" s="1"/>
  <c r="B226" i="15"/>
  <c r="B232" i="15" s="1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D108" i="15"/>
  <c r="C108" i="15"/>
  <c r="B108" i="15"/>
  <c r="AI107" i="15"/>
  <c r="AH107" i="15"/>
  <c r="AI106" i="15"/>
  <c r="AH106" i="15"/>
  <c r="AI105" i="15"/>
  <c r="AH105" i="15"/>
  <c r="AI104" i="15"/>
  <c r="AH104" i="15"/>
  <c r="AI103" i="15"/>
  <c r="AH103" i="15"/>
  <c r="AI102" i="15"/>
  <c r="AH102" i="15"/>
  <c r="AI101" i="15"/>
  <c r="AH101" i="15"/>
  <c r="AI100" i="15"/>
  <c r="AH100" i="15"/>
  <c r="AI99" i="15"/>
  <c r="AH99" i="15"/>
  <c r="AI97" i="15"/>
  <c r="AH97" i="15"/>
  <c r="AI96" i="15"/>
  <c r="AH96" i="15"/>
  <c r="AI95" i="15"/>
  <c r="AH95" i="15"/>
  <c r="AI94" i="15"/>
  <c r="AH94" i="15"/>
  <c r="AI93" i="15"/>
  <c r="AH93" i="15"/>
  <c r="AI92" i="15"/>
  <c r="AH92" i="15"/>
  <c r="AI91" i="15"/>
  <c r="AH91" i="15"/>
  <c r="AI88" i="15"/>
  <c r="AH88" i="15"/>
  <c r="AI86" i="15"/>
  <c r="AH86" i="15"/>
  <c r="AG86" i="15"/>
  <c r="AI85" i="15"/>
  <c r="AH85" i="15"/>
  <c r="AI84" i="15"/>
  <c r="AH84" i="15"/>
  <c r="AI83" i="15"/>
  <c r="AH83" i="15"/>
  <c r="AN82" i="15"/>
  <c r="AG82" i="15"/>
  <c r="AF82" i="15"/>
  <c r="AF98" i="15" s="1"/>
  <c r="AE82" i="15"/>
  <c r="AE98" i="15" s="1"/>
  <c r="AD82" i="15"/>
  <c r="AD98" i="15" s="1"/>
  <c r="AC82" i="15"/>
  <c r="AC98" i="15" s="1"/>
  <c r="AB98" i="15"/>
  <c r="AA82" i="15"/>
  <c r="AA98" i="15" s="1"/>
  <c r="Z98" i="15"/>
  <c r="Y98" i="15"/>
  <c r="X82" i="15"/>
  <c r="X98" i="15" s="1"/>
  <c r="W82" i="15"/>
  <c r="W98" i="15" s="1"/>
  <c r="V82" i="15"/>
  <c r="V98" i="15" s="1"/>
  <c r="U82" i="15"/>
  <c r="U98" i="15" s="1"/>
  <c r="T82" i="15"/>
  <c r="T98" i="15" s="1"/>
  <c r="S82" i="15"/>
  <c r="S98" i="15" s="1"/>
  <c r="R82" i="15"/>
  <c r="R98" i="15" s="1"/>
  <c r="Q82" i="15"/>
  <c r="Q98" i="15" s="1"/>
  <c r="P82" i="15"/>
  <c r="P98" i="15" s="1"/>
  <c r="O82" i="15"/>
  <c r="O98" i="15" s="1"/>
  <c r="N82" i="15"/>
  <c r="N98" i="15" s="1"/>
  <c r="L82" i="15"/>
  <c r="L98" i="15" s="1"/>
  <c r="K82" i="15"/>
  <c r="K98" i="15" s="1"/>
  <c r="J82" i="15"/>
  <c r="J98" i="15" s="1"/>
  <c r="I82" i="15"/>
  <c r="I98" i="15" s="1"/>
  <c r="H82" i="15"/>
  <c r="H98" i="15" s="1"/>
  <c r="G82" i="15"/>
  <c r="G98" i="15" s="1"/>
  <c r="F82" i="15"/>
  <c r="F98" i="15" s="1"/>
  <c r="E82" i="15"/>
  <c r="E98" i="15" s="1"/>
  <c r="D82" i="15"/>
  <c r="D98" i="15" s="1"/>
  <c r="C82" i="15"/>
  <c r="C98" i="15" s="1"/>
  <c r="B82" i="15"/>
  <c r="B98" i="15" s="1"/>
  <c r="AI81" i="15"/>
  <c r="AH81" i="15"/>
  <c r="AN80" i="15"/>
  <c r="AN81" i="15" s="1"/>
  <c r="AI80" i="15"/>
  <c r="AH80" i="15"/>
  <c r="AN79" i="15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I72" i="15"/>
  <c r="AH72" i="15"/>
  <c r="AI71" i="15"/>
  <c r="AH71" i="15"/>
  <c r="AG70" i="15"/>
  <c r="AF70" i="15"/>
  <c r="AE70" i="15"/>
  <c r="AD70" i="15"/>
  <c r="AC70" i="15"/>
  <c r="AB70" i="15"/>
  <c r="AA70" i="15"/>
  <c r="X70" i="15"/>
  <c r="W70" i="15"/>
  <c r="V70" i="15"/>
  <c r="T70" i="15"/>
  <c r="S70" i="15"/>
  <c r="R70" i="15"/>
  <c r="Q70" i="15"/>
  <c r="P70" i="15"/>
  <c r="O70" i="15"/>
  <c r="N70" i="15"/>
  <c r="L70" i="15"/>
  <c r="AI69" i="15"/>
  <c r="AH69" i="15"/>
  <c r="AI68" i="15"/>
  <c r="AH68" i="15"/>
  <c r="AI67" i="15"/>
  <c r="AH67" i="15"/>
  <c r="AF66" i="15"/>
  <c r="AE66" i="15"/>
  <c r="AD66" i="15"/>
  <c r="AC66" i="15"/>
  <c r="AB66" i="15"/>
  <c r="X66" i="15"/>
  <c r="W66" i="15"/>
  <c r="V66" i="15"/>
  <c r="U66" i="15"/>
  <c r="T66" i="15"/>
  <c r="S66" i="15"/>
  <c r="R66" i="15"/>
  <c r="Q66" i="15"/>
  <c r="P66" i="15"/>
  <c r="O66" i="15"/>
  <c r="N66" i="15"/>
  <c r="L66" i="15"/>
  <c r="K66" i="15"/>
  <c r="J66" i="15"/>
  <c r="I66" i="15"/>
  <c r="H66" i="15"/>
  <c r="G66" i="15"/>
  <c r="F66" i="15"/>
  <c r="E66" i="15"/>
  <c r="D66" i="15"/>
  <c r="C66" i="15"/>
  <c r="B66" i="15"/>
  <c r="AI65" i="15"/>
  <c r="AH65" i="15"/>
  <c r="AG65" i="15"/>
  <c r="AG66" i="15" s="1"/>
  <c r="AG3" i="15" s="1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G52" i="15"/>
  <c r="AF52" i="15"/>
  <c r="AE52" i="15"/>
  <c r="AD52" i="15"/>
  <c r="AC52" i="15"/>
  <c r="AB52" i="15"/>
  <c r="AA52" i="15"/>
  <c r="W52" i="15"/>
  <c r="V52" i="15"/>
  <c r="U52" i="15"/>
  <c r="T52" i="15"/>
  <c r="S52" i="15"/>
  <c r="R52" i="15"/>
  <c r="Q52" i="15"/>
  <c r="P52" i="15"/>
  <c r="O52" i="15"/>
  <c r="N52" i="15"/>
  <c r="L52" i="15"/>
  <c r="K52" i="15"/>
  <c r="J52" i="15"/>
  <c r="I52" i="15"/>
  <c r="H52" i="15"/>
  <c r="G52" i="15"/>
  <c r="F52" i="15"/>
  <c r="E52" i="15"/>
  <c r="D52" i="15"/>
  <c r="C52" i="15"/>
  <c r="B52" i="15"/>
  <c r="AI51" i="15"/>
  <c r="AH51" i="15"/>
  <c r="AI50" i="15"/>
  <c r="AH50" i="15"/>
  <c r="AI49" i="15"/>
  <c r="AH49" i="15"/>
  <c r="AG48" i="15"/>
  <c r="AF48" i="15"/>
  <c r="AE48" i="15"/>
  <c r="AD48" i="15"/>
  <c r="AC48" i="15"/>
  <c r="AB48" i="15"/>
  <c r="AA48" i="15"/>
  <c r="Z89" i="15"/>
  <c r="W48" i="15"/>
  <c r="W87" i="15" s="1"/>
  <c r="W89" i="15" s="1"/>
  <c r="V48" i="15"/>
  <c r="U48" i="15"/>
  <c r="T48" i="15"/>
  <c r="S48" i="15"/>
  <c r="R48" i="15"/>
  <c r="Q48" i="15"/>
  <c r="O48" i="15"/>
  <c r="N48" i="15"/>
  <c r="L48" i="15"/>
  <c r="K48" i="15"/>
  <c r="J48" i="15"/>
  <c r="I48" i="15"/>
  <c r="H48" i="15"/>
  <c r="G48" i="15"/>
  <c r="F48" i="15"/>
  <c r="E48" i="15"/>
  <c r="D48" i="15"/>
  <c r="C48" i="15"/>
  <c r="B48" i="15"/>
  <c r="AI47" i="15"/>
  <c r="AH47" i="15"/>
  <c r="AI46" i="15"/>
  <c r="AH46" i="15"/>
  <c r="AI45" i="15"/>
  <c r="AH45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5" i="15"/>
  <c r="AH15" i="15"/>
  <c r="AI14" i="15"/>
  <c r="AH14" i="15"/>
  <c r="AI13" i="15"/>
  <c r="AH13" i="15"/>
  <c r="AF5" i="15"/>
  <c r="Z5" i="15"/>
  <c r="Y5" i="15"/>
  <c r="V5" i="15"/>
  <c r="R5" i="15"/>
  <c r="L5" i="15"/>
  <c r="G5" i="15"/>
  <c r="AG4" i="15"/>
  <c r="K4" i="15"/>
  <c r="E4" i="15"/>
  <c r="H4" i="15" s="1"/>
  <c r="B4" i="15"/>
  <c r="S243" i="15" s="1"/>
  <c r="AG2" i="15"/>
  <c r="AG6" i="15" s="1"/>
  <c r="AA107" i="14"/>
  <c r="Z107" i="14"/>
  <c r="U107" i="14"/>
  <c r="U104" i="14" s="1"/>
  <c r="Q107" i="14"/>
  <c r="P107" i="14"/>
  <c r="N107" i="14"/>
  <c r="M107" i="14"/>
  <c r="D107" i="14"/>
  <c r="D62" i="14"/>
  <c r="B78" i="14"/>
  <c r="B94" i="14" s="1"/>
  <c r="B66" i="14"/>
  <c r="B62" i="14"/>
  <c r="B48" i="14"/>
  <c r="B44" i="14"/>
  <c r="AF267" i="14"/>
  <c r="AE267" i="14"/>
  <c r="AD267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E267" i="14"/>
  <c r="D267" i="14"/>
  <c r="C267" i="14"/>
  <c r="B267" i="14"/>
  <c r="A267" i="14"/>
  <c r="AF266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A266" i="14"/>
  <c r="AF265" i="14"/>
  <c r="AE265" i="14"/>
  <c r="AD265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A265" i="14"/>
  <c r="AF264" i="14"/>
  <c r="AE264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A264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D263" i="14"/>
  <c r="B263" i="14"/>
  <c r="S238" i="14"/>
  <c r="AG228" i="14"/>
  <c r="AF228" i="14"/>
  <c r="AE228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C228" i="14"/>
  <c r="E227" i="14"/>
  <c r="F227" i="14" s="1"/>
  <c r="D227" i="14"/>
  <c r="C263" i="14" s="1"/>
  <c r="B227" i="14"/>
  <c r="AF263" i="14" s="1"/>
  <c r="D226" i="14"/>
  <c r="E226" i="14" s="1"/>
  <c r="F226" i="14" s="1"/>
  <c r="G226" i="14" s="1"/>
  <c r="H226" i="14" s="1"/>
  <c r="I226" i="14" s="1"/>
  <c r="J226" i="14" s="1"/>
  <c r="K226" i="14" s="1"/>
  <c r="L226" i="14" s="1"/>
  <c r="M226" i="14" s="1"/>
  <c r="N226" i="14" s="1"/>
  <c r="O226" i="14" s="1"/>
  <c r="P226" i="14" s="1"/>
  <c r="B226" i="14"/>
  <c r="F225" i="14"/>
  <c r="G225" i="14" s="1"/>
  <c r="H225" i="14" s="1"/>
  <c r="I225" i="14" s="1"/>
  <c r="E225" i="14"/>
  <c r="D225" i="14"/>
  <c r="B225" i="14"/>
  <c r="D224" i="14"/>
  <c r="B224" i="14"/>
  <c r="D223" i="14"/>
  <c r="E223" i="14" s="1"/>
  <c r="F223" i="14" s="1"/>
  <c r="G223" i="14" s="1"/>
  <c r="H223" i="14" s="1"/>
  <c r="I223" i="14" s="1"/>
  <c r="J223" i="14" s="1"/>
  <c r="K223" i="14" s="1"/>
  <c r="L223" i="14" s="1"/>
  <c r="M223" i="14" s="1"/>
  <c r="N223" i="14" s="1"/>
  <c r="O223" i="14" s="1"/>
  <c r="P223" i="14" s="1"/>
  <c r="B223" i="14"/>
  <c r="D222" i="14"/>
  <c r="D104" i="14" s="1"/>
  <c r="B222" i="14"/>
  <c r="B104" i="14" s="1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B220" i="14"/>
  <c r="AI113" i="14"/>
  <c r="AH113" i="14"/>
  <c r="AI112" i="14"/>
  <c r="AH112" i="14"/>
  <c r="AI111" i="14"/>
  <c r="AH111" i="14"/>
  <c r="AI110" i="14"/>
  <c r="AH110" i="14"/>
  <c r="AI109" i="14"/>
  <c r="AH109" i="14"/>
  <c r="AI108" i="14"/>
  <c r="AH108" i="14"/>
  <c r="AI106" i="14"/>
  <c r="AH106" i="14"/>
  <c r="AI105" i="14"/>
  <c r="AH105" i="14"/>
  <c r="AF104" i="14"/>
  <c r="AE104" i="14"/>
  <c r="AD104" i="14"/>
  <c r="AC104" i="14"/>
  <c r="AB104" i="14"/>
  <c r="AA104" i="14"/>
  <c r="Z104" i="14"/>
  <c r="X104" i="14"/>
  <c r="W104" i="14"/>
  <c r="V104" i="14"/>
  <c r="T104" i="14"/>
  <c r="S104" i="14"/>
  <c r="R104" i="14"/>
  <c r="Q104" i="14"/>
  <c r="C104" i="14"/>
  <c r="AI103" i="14"/>
  <c r="AH103" i="14"/>
  <c r="AI102" i="14"/>
  <c r="AH102" i="14"/>
  <c r="AI101" i="14"/>
  <c r="AH101" i="14"/>
  <c r="AI100" i="14"/>
  <c r="AH100" i="14"/>
  <c r="AI99" i="14"/>
  <c r="AH99" i="14"/>
  <c r="AI98" i="14"/>
  <c r="AH98" i="14"/>
  <c r="AI97" i="14"/>
  <c r="AH97" i="14"/>
  <c r="AI96" i="14"/>
  <c r="AH96" i="14"/>
  <c r="AI95" i="14"/>
  <c r="AH95" i="14"/>
  <c r="AI93" i="14"/>
  <c r="AH93" i="14"/>
  <c r="AI92" i="14"/>
  <c r="AH92" i="14"/>
  <c r="AI91" i="14"/>
  <c r="AH91" i="14"/>
  <c r="AI90" i="14"/>
  <c r="AH90" i="14"/>
  <c r="AI89" i="14"/>
  <c r="AH89" i="14"/>
  <c r="AI88" i="14"/>
  <c r="AH88" i="14"/>
  <c r="AI87" i="14"/>
  <c r="AH87" i="14"/>
  <c r="AI84" i="14"/>
  <c r="AH84" i="14"/>
  <c r="AI82" i="14"/>
  <c r="AH82" i="14"/>
  <c r="AG82" i="14"/>
  <c r="AI81" i="14"/>
  <c r="AH81" i="14"/>
  <c r="AI80" i="14"/>
  <c r="AH80" i="14"/>
  <c r="AI79" i="14"/>
  <c r="AH79" i="14"/>
  <c r="AN78" i="14"/>
  <c r="AG78" i="14"/>
  <c r="AF78" i="14"/>
  <c r="AF94" i="14" s="1"/>
  <c r="AE78" i="14"/>
  <c r="AD5" i="14" s="1"/>
  <c r="AD78" i="14"/>
  <c r="AD94" i="14" s="1"/>
  <c r="AC78" i="14"/>
  <c r="AC94" i="14" s="1"/>
  <c r="AB78" i="14"/>
  <c r="AA5" i="14" s="1"/>
  <c r="AA78" i="14"/>
  <c r="AA94" i="14" s="1"/>
  <c r="Z78" i="14"/>
  <c r="Y5" i="14" s="1"/>
  <c r="X78" i="14"/>
  <c r="W5" i="14" s="1"/>
  <c r="W78" i="14"/>
  <c r="W94" i="14" s="1"/>
  <c r="V78" i="14"/>
  <c r="V94" i="14" s="1"/>
  <c r="U78" i="14"/>
  <c r="U94" i="14" s="1"/>
  <c r="T78" i="14"/>
  <c r="S5" i="14" s="1"/>
  <c r="S78" i="14"/>
  <c r="S94" i="14" s="1"/>
  <c r="R78" i="14"/>
  <c r="Q5" i="14" s="1"/>
  <c r="Q78" i="14"/>
  <c r="Q94" i="14" s="1"/>
  <c r="P78" i="14"/>
  <c r="O5" i="14" s="1"/>
  <c r="O78" i="14"/>
  <c r="N5" i="14" s="1"/>
  <c r="N78" i="14"/>
  <c r="N94" i="14" s="1"/>
  <c r="M78" i="14"/>
  <c r="M94" i="14" s="1"/>
  <c r="L78" i="14"/>
  <c r="K5" i="14" s="1"/>
  <c r="K78" i="14"/>
  <c r="K94" i="14" s="1"/>
  <c r="J78" i="14"/>
  <c r="I5" i="14" s="1"/>
  <c r="I78" i="14"/>
  <c r="I94" i="14" s="1"/>
  <c r="H78" i="14"/>
  <c r="H94" i="14" s="1"/>
  <c r="G78" i="14"/>
  <c r="G94" i="14" s="1"/>
  <c r="F78" i="14"/>
  <c r="F94" i="14" s="1"/>
  <c r="E78" i="14"/>
  <c r="E94" i="14" s="1"/>
  <c r="D78" i="14"/>
  <c r="C5" i="14" s="1"/>
  <c r="C78" i="14"/>
  <c r="C94" i="14" s="1"/>
  <c r="AI77" i="14"/>
  <c r="AH77" i="14"/>
  <c r="AN76" i="14"/>
  <c r="AI76" i="14"/>
  <c r="AH76" i="14"/>
  <c r="AN75" i="14"/>
  <c r="AN77" i="14" s="1"/>
  <c r="AI75" i="14"/>
  <c r="AH75" i="14"/>
  <c r="AI74" i="14"/>
  <c r="AH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G66" i="14"/>
  <c r="AG4" i="14" s="1"/>
  <c r="AF66" i="14"/>
  <c r="AE66" i="14"/>
  <c r="AD66" i="14"/>
  <c r="AC66" i="14"/>
  <c r="AB66" i="14"/>
  <c r="AA66" i="14"/>
  <c r="Z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AI65" i="14"/>
  <c r="AH65" i="14"/>
  <c r="AI64" i="14"/>
  <c r="AH64" i="14"/>
  <c r="AI63" i="14"/>
  <c r="AH63" i="14"/>
  <c r="AF62" i="14"/>
  <c r="AE62" i="14"/>
  <c r="AD62" i="14"/>
  <c r="AC62" i="14"/>
  <c r="AB62" i="14"/>
  <c r="AA62" i="14"/>
  <c r="Z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C62" i="14"/>
  <c r="AI61" i="14"/>
  <c r="AH61" i="14"/>
  <c r="AG61" i="14"/>
  <c r="AG62" i="14" s="1"/>
  <c r="AG3" i="14" s="1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G48" i="14"/>
  <c r="AF48" i="14"/>
  <c r="AE48" i="14"/>
  <c r="AD48" i="14"/>
  <c r="AC48" i="14"/>
  <c r="AB48" i="14"/>
  <c r="AA48" i="14"/>
  <c r="Z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AI47" i="14"/>
  <c r="AH47" i="14"/>
  <c r="AI46" i="14"/>
  <c r="AH46" i="14"/>
  <c r="AI45" i="14"/>
  <c r="AH45" i="14"/>
  <c r="AG44" i="14"/>
  <c r="AF44" i="14"/>
  <c r="AE44" i="14"/>
  <c r="AD44" i="14"/>
  <c r="AC44" i="14"/>
  <c r="AB44" i="14"/>
  <c r="AA44" i="14"/>
  <c r="AA83" i="14" s="1"/>
  <c r="AA85" i="14" s="1"/>
  <c r="Z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B5" i="14"/>
  <c r="K4" i="14"/>
  <c r="E4" i="14"/>
  <c r="H4" i="14" s="1"/>
  <c r="B4" i="14"/>
  <c r="S239" i="14" s="1"/>
  <c r="AF107" i="13"/>
  <c r="AF44" i="13"/>
  <c r="AE107" i="13"/>
  <c r="F226" i="15" l="1"/>
  <c r="G227" i="14"/>
  <c r="E263" i="14"/>
  <c r="E231" i="15"/>
  <c r="A7" i="17"/>
  <c r="E222" i="14"/>
  <c r="O94" i="14"/>
  <c r="AI107" i="14"/>
  <c r="AH107" i="14"/>
  <c r="AE5" i="14"/>
  <c r="D232" i="15"/>
  <c r="D228" i="14"/>
  <c r="B228" i="14"/>
  <c r="AG89" i="15"/>
  <c r="K6" i="16"/>
  <c r="AI90" i="17"/>
  <c r="AH90" i="17"/>
  <c r="H226" i="17"/>
  <c r="G108" i="17"/>
  <c r="G232" i="17"/>
  <c r="G267" i="17"/>
  <c r="I231" i="17"/>
  <c r="A7" i="16"/>
  <c r="AI90" i="16"/>
  <c r="AH90" i="16"/>
  <c r="F267" i="16"/>
  <c r="H231" i="16"/>
  <c r="G226" i="16"/>
  <c r="F108" i="16"/>
  <c r="F232" i="16"/>
  <c r="AE5" i="15"/>
  <c r="AC5" i="15"/>
  <c r="AD87" i="15"/>
  <c r="AD89" i="15" s="1"/>
  <c r="AD90" i="15" s="1"/>
  <c r="AE87" i="15"/>
  <c r="AE89" i="15" s="1"/>
  <c r="AE90" i="15" s="1"/>
  <c r="AD5" i="15"/>
  <c r="AB5" i="15"/>
  <c r="AA5" i="15"/>
  <c r="AB87" i="15"/>
  <c r="AB89" i="15" s="1"/>
  <c r="AB90" i="15" s="1"/>
  <c r="AA87" i="15"/>
  <c r="AA89" i="15" s="1"/>
  <c r="AA90" i="15" s="1"/>
  <c r="X5" i="15"/>
  <c r="Y89" i="15"/>
  <c r="AQ246" i="15" s="1"/>
  <c r="S5" i="15"/>
  <c r="W5" i="15"/>
  <c r="U5" i="15"/>
  <c r="V87" i="15"/>
  <c r="V89" i="15" s="1"/>
  <c r="AN246" i="15" s="1"/>
  <c r="T5" i="15"/>
  <c r="X87" i="15"/>
  <c r="X89" i="15" s="1"/>
  <c r="X90" i="15" s="1"/>
  <c r="AF87" i="15"/>
  <c r="AF89" i="15" s="1"/>
  <c r="AF7" i="15" s="1"/>
  <c r="AC87" i="15"/>
  <c r="AC89" i="15" s="1"/>
  <c r="AC90" i="15" s="1"/>
  <c r="U87" i="15"/>
  <c r="U89" i="15" s="1"/>
  <c r="U7" i="15" s="1"/>
  <c r="T87" i="15"/>
  <c r="T89" i="15" s="1"/>
  <c r="T7" i="15" s="1"/>
  <c r="S87" i="15"/>
  <c r="S89" i="15" s="1"/>
  <c r="S90" i="15" s="1"/>
  <c r="Q5" i="15"/>
  <c r="R87" i="15"/>
  <c r="R89" i="15" s="1"/>
  <c r="R7" i="15" s="1"/>
  <c r="P5" i="15"/>
  <c r="Q87" i="15"/>
  <c r="Q89" i="15" s="1"/>
  <c r="AI246" i="15" s="1"/>
  <c r="O5" i="15"/>
  <c r="P87" i="15"/>
  <c r="P89" i="15" s="1"/>
  <c r="P90" i="15" s="1"/>
  <c r="N5" i="15"/>
  <c r="O87" i="15"/>
  <c r="O89" i="15" s="1"/>
  <c r="O90" i="15" s="1"/>
  <c r="M5" i="15"/>
  <c r="AI70" i="15"/>
  <c r="N87" i="15"/>
  <c r="N89" i="15" s="1"/>
  <c r="N90" i="15" s="1"/>
  <c r="K5" i="15"/>
  <c r="L87" i="15"/>
  <c r="L89" i="15" s="1"/>
  <c r="L90" i="15" s="1"/>
  <c r="AH70" i="15"/>
  <c r="J5" i="15"/>
  <c r="K87" i="15"/>
  <c r="K89" i="15" s="1"/>
  <c r="AC246" i="15" s="1"/>
  <c r="I5" i="15"/>
  <c r="J87" i="15"/>
  <c r="J89" i="15" s="1"/>
  <c r="J7" i="15" s="1"/>
  <c r="H5" i="15"/>
  <c r="I87" i="15"/>
  <c r="I89" i="15" s="1"/>
  <c r="I90" i="15" s="1"/>
  <c r="H87" i="15"/>
  <c r="H89" i="15" s="1"/>
  <c r="H90" i="15" s="1"/>
  <c r="F5" i="15"/>
  <c r="G87" i="15"/>
  <c r="G89" i="15" s="1"/>
  <c r="Y246" i="15" s="1"/>
  <c r="F87" i="15"/>
  <c r="F89" i="15" s="1"/>
  <c r="X246" i="15" s="1"/>
  <c r="E5" i="15"/>
  <c r="D5" i="15"/>
  <c r="E87" i="15"/>
  <c r="E89" i="15" s="1"/>
  <c r="E90" i="15" s="1"/>
  <c r="AI52" i="15"/>
  <c r="C5" i="15"/>
  <c r="D87" i="15"/>
  <c r="D89" i="15" s="1"/>
  <c r="D7" i="15" s="1"/>
  <c r="B5" i="15"/>
  <c r="C87" i="15"/>
  <c r="C89" i="15" s="1"/>
  <c r="C90" i="15" s="1"/>
  <c r="AH66" i="15"/>
  <c r="AI66" i="15"/>
  <c r="B87" i="15"/>
  <c r="AO246" i="15"/>
  <c r="W90" i="15"/>
  <c r="W7" i="15"/>
  <c r="AK246" i="15"/>
  <c r="J229" i="15"/>
  <c r="K229" i="15" s="1"/>
  <c r="L229" i="15" s="1"/>
  <c r="M229" i="15" s="1"/>
  <c r="N229" i="15" s="1"/>
  <c r="O229" i="15" s="1"/>
  <c r="P229" i="15" s="1"/>
  <c r="G90" i="15"/>
  <c r="AT246" i="15"/>
  <c r="M7" i="15"/>
  <c r="AE246" i="15"/>
  <c r="AV246" i="15"/>
  <c r="AI98" i="15"/>
  <c r="AH98" i="15"/>
  <c r="G226" i="15"/>
  <c r="AG87" i="15"/>
  <c r="Z90" i="15"/>
  <c r="Z7" i="15"/>
  <c r="AR246" i="15"/>
  <c r="E232" i="15"/>
  <c r="D243" i="15"/>
  <c r="AH82" i="15"/>
  <c r="AI82" i="15"/>
  <c r="AH48" i="15"/>
  <c r="AH52" i="15"/>
  <c r="AI48" i="15"/>
  <c r="AF83" i="14"/>
  <c r="AF85" i="14" s="1"/>
  <c r="AE94" i="14"/>
  <c r="AE83" i="14"/>
  <c r="AE85" i="14" s="1"/>
  <c r="AE86" i="14" s="1"/>
  <c r="AC5" i="14"/>
  <c r="AD83" i="14"/>
  <c r="AD85" i="14" s="1"/>
  <c r="AD86" i="14" s="1"/>
  <c r="AC83" i="14"/>
  <c r="AC85" i="14" s="1"/>
  <c r="AB83" i="14"/>
  <c r="AB85" i="14" s="1"/>
  <c r="Z83" i="14"/>
  <c r="Z85" i="14" s="1"/>
  <c r="X94" i="14"/>
  <c r="W83" i="14"/>
  <c r="W85" i="14" s="1"/>
  <c r="V5" i="14"/>
  <c r="T5" i="14"/>
  <c r="U83" i="14"/>
  <c r="U85" i="14" s="1"/>
  <c r="AM242" i="14" s="1"/>
  <c r="T83" i="14"/>
  <c r="T85" i="14" s="1"/>
  <c r="U5" i="14"/>
  <c r="V83" i="14"/>
  <c r="V85" i="14" s="1"/>
  <c r="Z94" i="14"/>
  <c r="X83" i="14"/>
  <c r="X85" i="14" s="1"/>
  <c r="S83" i="14"/>
  <c r="S85" i="14" s="1"/>
  <c r="S7" i="14" s="1"/>
  <c r="R94" i="14"/>
  <c r="R83" i="14"/>
  <c r="R85" i="14" s="1"/>
  <c r="AJ242" i="14" s="1"/>
  <c r="Q83" i="14"/>
  <c r="Q85" i="14" s="1"/>
  <c r="P94" i="14"/>
  <c r="P83" i="14"/>
  <c r="P85" i="14" s="1"/>
  <c r="O83" i="14"/>
  <c r="O85" i="14" s="1"/>
  <c r="M5" i="14"/>
  <c r="AI66" i="14"/>
  <c r="N83" i="14"/>
  <c r="N85" i="14" s="1"/>
  <c r="N7" i="14" s="1"/>
  <c r="L5" i="14"/>
  <c r="L83" i="14"/>
  <c r="L85" i="14" s="1"/>
  <c r="M83" i="14"/>
  <c r="M85" i="14" s="1"/>
  <c r="M86" i="14" s="1"/>
  <c r="K83" i="14"/>
  <c r="K85" i="14" s="1"/>
  <c r="K86" i="14" s="1"/>
  <c r="J94" i="14"/>
  <c r="J83" i="14"/>
  <c r="J85" i="14" s="1"/>
  <c r="J86" i="14" s="1"/>
  <c r="I83" i="14"/>
  <c r="I85" i="14" s="1"/>
  <c r="I86" i="14" s="1"/>
  <c r="G5" i="14"/>
  <c r="H83" i="14"/>
  <c r="H85" i="14" s="1"/>
  <c r="Z242" i="14" s="1"/>
  <c r="F5" i="14"/>
  <c r="G83" i="14"/>
  <c r="G85" i="14" s="1"/>
  <c r="E5" i="14"/>
  <c r="F83" i="14"/>
  <c r="F85" i="14" s="1"/>
  <c r="F7" i="14" s="1"/>
  <c r="D5" i="14"/>
  <c r="AH48" i="14"/>
  <c r="E83" i="14"/>
  <c r="E85" i="14" s="1"/>
  <c r="W242" i="14" s="1"/>
  <c r="AI62" i="14"/>
  <c r="D83" i="14"/>
  <c r="D85" i="14" s="1"/>
  <c r="D86" i="14" s="1"/>
  <c r="AH78" i="14"/>
  <c r="C83" i="14"/>
  <c r="C85" i="14" s="1"/>
  <c r="C86" i="14" s="1"/>
  <c r="AH62" i="14"/>
  <c r="B83" i="14"/>
  <c r="B85" i="14" s="1"/>
  <c r="B86" i="14" s="1"/>
  <c r="M7" i="14"/>
  <c r="X242" i="14"/>
  <c r="F86" i="14"/>
  <c r="J225" i="14"/>
  <c r="K225" i="14" s="1"/>
  <c r="L225" i="14" s="1"/>
  <c r="M225" i="14" s="1"/>
  <c r="N225" i="14" s="1"/>
  <c r="O225" i="14" s="1"/>
  <c r="P225" i="14" s="1"/>
  <c r="Y7" i="14"/>
  <c r="AQ242" i="14"/>
  <c r="R7" i="14"/>
  <c r="Z86" i="14"/>
  <c r="Z7" i="14"/>
  <c r="AR242" i="14"/>
  <c r="AN242" i="14"/>
  <c r="V86" i="14"/>
  <c r="V7" i="14"/>
  <c r="U242" i="14"/>
  <c r="C7" i="14"/>
  <c r="AK242" i="14"/>
  <c r="S86" i="14"/>
  <c r="AS242" i="14"/>
  <c r="AA7" i="14"/>
  <c r="AA86" i="14"/>
  <c r="O86" i="14"/>
  <c r="O7" i="14"/>
  <c r="AG242" i="14"/>
  <c r="W86" i="14"/>
  <c r="W7" i="14"/>
  <c r="AO242" i="14"/>
  <c r="AG83" i="14"/>
  <c r="AD242" i="14"/>
  <c r="L86" i="14"/>
  <c r="L7" i="14"/>
  <c r="AB7" i="14"/>
  <c r="AT242" i="14"/>
  <c r="AB86" i="14"/>
  <c r="P86" i="14"/>
  <c r="P7" i="14"/>
  <c r="AH242" i="14"/>
  <c r="X86" i="14"/>
  <c r="X7" i="14"/>
  <c r="AP242" i="14"/>
  <c r="AF86" i="14"/>
  <c r="AF7" i="14"/>
  <c r="AX242" i="14"/>
  <c r="G86" i="14"/>
  <c r="Y242" i="14"/>
  <c r="Q86" i="14"/>
  <c r="Q7" i="14"/>
  <c r="AI242" i="14"/>
  <c r="AL242" i="14"/>
  <c r="T7" i="14"/>
  <c r="T86" i="14"/>
  <c r="AG85" i="14"/>
  <c r="AU242" i="14"/>
  <c r="AC7" i="14"/>
  <c r="AC86" i="14"/>
  <c r="D7" i="14"/>
  <c r="AI48" i="14"/>
  <c r="D94" i="14"/>
  <c r="AB94" i="14"/>
  <c r="E224" i="14"/>
  <c r="F224" i="14" s="1"/>
  <c r="G224" i="14" s="1"/>
  <c r="H224" i="14" s="1"/>
  <c r="H5" i="14"/>
  <c r="P5" i="14"/>
  <c r="X5" i="14"/>
  <c r="AF5" i="14"/>
  <c r="AH66" i="14"/>
  <c r="D239" i="14"/>
  <c r="T94" i="14"/>
  <c r="B5" i="14"/>
  <c r="J5" i="14"/>
  <c r="R5" i="14"/>
  <c r="Z5" i="14"/>
  <c r="AH44" i="14"/>
  <c r="AI44" i="14"/>
  <c r="L94" i="14"/>
  <c r="AG2" i="14"/>
  <c r="AG6" i="14" s="1"/>
  <c r="AI78" i="14"/>
  <c r="E104" i="14" l="1"/>
  <c r="F222" i="14"/>
  <c r="AF242" i="14"/>
  <c r="AW242" i="14"/>
  <c r="D267" i="15"/>
  <c r="F231" i="15"/>
  <c r="R86" i="14"/>
  <c r="N86" i="14"/>
  <c r="AE7" i="14"/>
  <c r="I7" i="14"/>
  <c r="U7" i="14"/>
  <c r="E228" i="14"/>
  <c r="V242" i="14"/>
  <c r="AD7" i="14"/>
  <c r="U86" i="14"/>
  <c r="H227" i="14"/>
  <c r="F263" i="14"/>
  <c r="E108" i="15"/>
  <c r="AW246" i="15"/>
  <c r="AG246" i="15"/>
  <c r="H7" i="15"/>
  <c r="T90" i="15"/>
  <c r="S7" i="15"/>
  <c r="N7" i="15"/>
  <c r="F7" i="15"/>
  <c r="F90" i="15"/>
  <c r="J90" i="15"/>
  <c r="Q90" i="15"/>
  <c r="E7" i="15"/>
  <c r="I226" i="17"/>
  <c r="H108" i="17"/>
  <c r="H232" i="17"/>
  <c r="H267" i="17"/>
  <c r="J231" i="17"/>
  <c r="H226" i="16"/>
  <c r="G108" i="16"/>
  <c r="G232" i="16"/>
  <c r="G267" i="16"/>
  <c r="I231" i="16"/>
  <c r="AF90" i="15"/>
  <c r="AE7" i="15"/>
  <c r="AD7" i="15"/>
  <c r="AX246" i="15"/>
  <c r="AC7" i="15"/>
  <c r="AU246" i="15"/>
  <c r="AB7" i="15"/>
  <c r="AS246" i="15"/>
  <c r="AA7" i="15"/>
  <c r="Y7" i="15"/>
  <c r="Y90" i="15"/>
  <c r="AP246" i="15"/>
  <c r="X7" i="15"/>
  <c r="V7" i="15"/>
  <c r="V90" i="15"/>
  <c r="U90" i="15"/>
  <c r="AM246" i="15"/>
  <c r="R90" i="15"/>
  <c r="AL246" i="15"/>
  <c r="AJ246" i="15"/>
  <c r="Q7" i="15"/>
  <c r="P7" i="15"/>
  <c r="AH246" i="15"/>
  <c r="O7" i="15"/>
  <c r="AF246" i="15"/>
  <c r="AD246" i="15"/>
  <c r="L7" i="15"/>
  <c r="AV242" i="14"/>
  <c r="Z246" i="15"/>
  <c r="W246" i="15"/>
  <c r="D90" i="15"/>
  <c r="K7" i="15"/>
  <c r="K90" i="15"/>
  <c r="AB246" i="15"/>
  <c r="AA246" i="15"/>
  <c r="I7" i="15"/>
  <c r="G7" i="15"/>
  <c r="B241" i="15"/>
  <c r="C241" i="15"/>
  <c r="AH87" i="15"/>
  <c r="V246" i="15"/>
  <c r="U246" i="15"/>
  <c r="C7" i="15"/>
  <c r="AI87" i="15"/>
  <c r="B89" i="15"/>
  <c r="B90" i="15" s="1"/>
  <c r="H226" i="15"/>
  <c r="AE242" i="14"/>
  <c r="AI94" i="14"/>
  <c r="AC242" i="14"/>
  <c r="K7" i="14"/>
  <c r="J7" i="14"/>
  <c r="AB242" i="14"/>
  <c r="AA242" i="14"/>
  <c r="C237" i="14"/>
  <c r="B237" i="14"/>
  <c r="H7" i="14"/>
  <c r="H86" i="14"/>
  <c r="G7" i="14"/>
  <c r="E86" i="14"/>
  <c r="E7" i="14"/>
  <c r="AI83" i="14"/>
  <c r="AH83" i="14"/>
  <c r="AH94" i="14"/>
  <c r="AI85" i="14"/>
  <c r="AH85" i="14"/>
  <c r="B7" i="14"/>
  <c r="T242" i="14"/>
  <c r="G263" i="14" l="1"/>
  <c r="I227" i="14"/>
  <c r="E267" i="15"/>
  <c r="G231" i="15"/>
  <c r="F108" i="15"/>
  <c r="F232" i="15"/>
  <c r="F104" i="14"/>
  <c r="G222" i="14"/>
  <c r="F228" i="14"/>
  <c r="K6" i="14"/>
  <c r="B7" i="15"/>
  <c r="AI89" i="15"/>
  <c r="K231" i="17"/>
  <c r="I267" i="17"/>
  <c r="I108" i="17"/>
  <c r="J226" i="17"/>
  <c r="H267" i="16"/>
  <c r="J231" i="16"/>
  <c r="I226" i="16"/>
  <c r="H108" i="16"/>
  <c r="H232" i="16"/>
  <c r="A7" i="15"/>
  <c r="T246" i="15"/>
  <c r="AH89" i="15"/>
  <c r="K6" i="15"/>
  <c r="I226" i="15"/>
  <c r="AI90" i="15"/>
  <c r="AH90" i="15"/>
  <c r="A7" i="14"/>
  <c r="AI86" i="14"/>
  <c r="AH86" i="14"/>
  <c r="L107" i="13"/>
  <c r="K107" i="13"/>
  <c r="J107" i="13"/>
  <c r="I107" i="13"/>
  <c r="H107" i="13"/>
  <c r="G107" i="13"/>
  <c r="F107" i="13"/>
  <c r="AF267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B263" i="13"/>
  <c r="S238" i="13"/>
  <c r="AG228" i="13"/>
  <c r="AG61" i="13" s="1"/>
  <c r="AG62" i="13" s="1"/>
  <c r="AG3" i="13" s="1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C228" i="13"/>
  <c r="D227" i="13"/>
  <c r="C263" i="13" s="1"/>
  <c r="B227" i="13"/>
  <c r="AF263" i="13" s="1"/>
  <c r="D226" i="13"/>
  <c r="E226" i="13" s="1"/>
  <c r="F226" i="13" s="1"/>
  <c r="G226" i="13" s="1"/>
  <c r="H226" i="13" s="1"/>
  <c r="I226" i="13" s="1"/>
  <c r="J226" i="13" s="1"/>
  <c r="K226" i="13" s="1"/>
  <c r="L226" i="13" s="1"/>
  <c r="M226" i="13" s="1"/>
  <c r="N226" i="13" s="1"/>
  <c r="O226" i="13" s="1"/>
  <c r="P226" i="13" s="1"/>
  <c r="B226" i="13"/>
  <c r="D225" i="13"/>
  <c r="E225" i="13" s="1"/>
  <c r="F225" i="13" s="1"/>
  <c r="G225" i="13" s="1"/>
  <c r="H225" i="13" s="1"/>
  <c r="I225" i="13" s="1"/>
  <c r="B225" i="13"/>
  <c r="D224" i="13"/>
  <c r="E224" i="13" s="1"/>
  <c r="F224" i="13" s="1"/>
  <c r="G224" i="13" s="1"/>
  <c r="H224" i="13" s="1"/>
  <c r="B224" i="13"/>
  <c r="D223" i="13"/>
  <c r="E223" i="13" s="1"/>
  <c r="F223" i="13" s="1"/>
  <c r="G223" i="13" s="1"/>
  <c r="H223" i="13" s="1"/>
  <c r="I223" i="13" s="1"/>
  <c r="J223" i="13" s="1"/>
  <c r="K223" i="13" s="1"/>
  <c r="L223" i="13" s="1"/>
  <c r="M223" i="13" s="1"/>
  <c r="N223" i="13" s="1"/>
  <c r="O223" i="13" s="1"/>
  <c r="P223" i="13" s="1"/>
  <c r="B223" i="13"/>
  <c r="E222" i="13"/>
  <c r="F222" i="13" s="1"/>
  <c r="D222" i="13"/>
  <c r="B222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I113" i="13"/>
  <c r="AH113" i="13"/>
  <c r="AI112" i="13"/>
  <c r="AH112" i="13"/>
  <c r="AI111" i="13"/>
  <c r="AH111" i="13"/>
  <c r="AI110" i="13"/>
  <c r="AH110" i="13"/>
  <c r="AI109" i="13"/>
  <c r="AH109" i="13"/>
  <c r="AI108" i="13"/>
  <c r="AH108" i="13"/>
  <c r="AI106" i="13"/>
  <c r="AH106" i="13"/>
  <c r="AI105" i="13"/>
  <c r="AH105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C104" i="13"/>
  <c r="B104" i="13"/>
  <c r="AI103" i="13"/>
  <c r="AH103" i="13"/>
  <c r="AI102" i="13"/>
  <c r="AH102" i="13"/>
  <c r="AI101" i="13"/>
  <c r="AH101" i="13"/>
  <c r="AI100" i="13"/>
  <c r="AH100" i="13"/>
  <c r="AI99" i="13"/>
  <c r="AH99" i="13"/>
  <c r="AI98" i="13"/>
  <c r="AH98" i="13"/>
  <c r="AI97" i="13"/>
  <c r="AH97" i="13"/>
  <c r="AI96" i="13"/>
  <c r="AH96" i="13"/>
  <c r="AI95" i="13"/>
  <c r="AH95" i="13"/>
  <c r="AI93" i="13"/>
  <c r="AH93" i="13"/>
  <c r="AI92" i="13"/>
  <c r="AH92" i="13"/>
  <c r="AI91" i="13"/>
  <c r="AH91" i="13"/>
  <c r="AI90" i="13"/>
  <c r="AH90" i="13"/>
  <c r="AI89" i="13"/>
  <c r="AH89" i="13"/>
  <c r="AI88" i="13"/>
  <c r="AH88" i="13"/>
  <c r="AI87" i="13"/>
  <c r="AH87" i="13"/>
  <c r="AI84" i="13"/>
  <c r="AH84" i="13"/>
  <c r="AI82" i="13"/>
  <c r="AH82" i="13"/>
  <c r="AG82" i="13"/>
  <c r="AI81" i="13"/>
  <c r="AH81" i="13"/>
  <c r="AI80" i="13"/>
  <c r="AH80" i="13"/>
  <c r="AI79" i="13"/>
  <c r="AH79" i="13"/>
  <c r="AN78" i="13"/>
  <c r="AG78" i="13"/>
  <c r="AF78" i="13"/>
  <c r="AF94" i="13" s="1"/>
  <c r="AE78" i="13"/>
  <c r="AD5" i="13" s="1"/>
  <c r="AD78" i="13"/>
  <c r="AC5" i="13" s="1"/>
  <c r="AC78" i="13"/>
  <c r="AB5" i="13" s="1"/>
  <c r="AB78" i="13"/>
  <c r="AB94" i="13" s="1"/>
  <c r="AA78" i="13"/>
  <c r="AA94" i="13" s="1"/>
  <c r="Z78" i="13"/>
  <c r="Z94" i="13" s="1"/>
  <c r="Y78" i="13"/>
  <c r="Y94" i="13" s="1"/>
  <c r="X78" i="13"/>
  <c r="W5" i="13" s="1"/>
  <c r="W78" i="13"/>
  <c r="V5" i="13" s="1"/>
  <c r="V78" i="13"/>
  <c r="U5" i="13" s="1"/>
  <c r="U78" i="13"/>
  <c r="U94" i="13" s="1"/>
  <c r="T78" i="13"/>
  <c r="T94" i="13" s="1"/>
  <c r="S78" i="13"/>
  <c r="S94" i="13" s="1"/>
  <c r="R78" i="13"/>
  <c r="R94" i="13" s="1"/>
  <c r="Q78" i="13"/>
  <c r="Q94" i="13" s="1"/>
  <c r="P78" i="13"/>
  <c r="O5" i="13" s="1"/>
  <c r="O78" i="13"/>
  <c r="N78" i="13"/>
  <c r="M5" i="13" s="1"/>
  <c r="M78" i="13"/>
  <c r="M94" i="13" s="1"/>
  <c r="L78" i="13"/>
  <c r="L94" i="13" s="1"/>
  <c r="K78" i="13"/>
  <c r="K94" i="13" s="1"/>
  <c r="J78" i="13"/>
  <c r="J94" i="13" s="1"/>
  <c r="I78" i="13"/>
  <c r="H5" i="13" s="1"/>
  <c r="H78" i="13"/>
  <c r="G5" i="13" s="1"/>
  <c r="G78" i="13"/>
  <c r="F5" i="13" s="1"/>
  <c r="F78" i="13"/>
  <c r="E5" i="13" s="1"/>
  <c r="E78" i="13"/>
  <c r="E94" i="13" s="1"/>
  <c r="D78" i="13"/>
  <c r="D94" i="13" s="1"/>
  <c r="C78" i="13"/>
  <c r="C94" i="13" s="1"/>
  <c r="B78" i="13"/>
  <c r="B94" i="13" s="1"/>
  <c r="AI77" i="13"/>
  <c r="AH77" i="13"/>
  <c r="AN76" i="13"/>
  <c r="AI76" i="13"/>
  <c r="AH76" i="13"/>
  <c r="AN75" i="13"/>
  <c r="AN77" i="13" s="1"/>
  <c r="AI75" i="13"/>
  <c r="AH75" i="13"/>
  <c r="AI74" i="13"/>
  <c r="AH74" i="13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AI65" i="13"/>
  <c r="AH65" i="13"/>
  <c r="AI64" i="13"/>
  <c r="AH64" i="13"/>
  <c r="AI63" i="13"/>
  <c r="AH63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I47" i="13"/>
  <c r="AH47" i="13"/>
  <c r="AI46" i="13"/>
  <c r="AH46" i="13"/>
  <c r="AI45" i="13"/>
  <c r="AH45" i="13"/>
  <c r="AG44" i="13"/>
  <c r="AG2" i="13" s="1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X5" i="13"/>
  <c r="AG4" i="13"/>
  <c r="K4" i="13"/>
  <c r="E4" i="13"/>
  <c r="H4" i="13" s="1"/>
  <c r="B4" i="13"/>
  <c r="S239" i="13" s="1"/>
  <c r="Y104" i="12"/>
  <c r="AH107" i="13" l="1"/>
  <c r="G104" i="14"/>
  <c r="H222" i="14"/>
  <c r="G228" i="14"/>
  <c r="F267" i="15"/>
  <c r="H231" i="15"/>
  <c r="G108" i="15"/>
  <c r="G232" i="15"/>
  <c r="B228" i="13"/>
  <c r="H263" i="14"/>
  <c r="J227" i="14"/>
  <c r="D228" i="13"/>
  <c r="J108" i="17"/>
  <c r="K226" i="17"/>
  <c r="J267" i="17"/>
  <c r="L231" i="17"/>
  <c r="I108" i="16"/>
  <c r="J226" i="16"/>
  <c r="K231" i="16"/>
  <c r="I267" i="16"/>
  <c r="J226" i="15"/>
  <c r="AE5" i="13"/>
  <c r="AF83" i="13"/>
  <c r="AF85" i="13" s="1"/>
  <c r="AF86" i="13" s="1"/>
  <c r="AD94" i="13"/>
  <c r="AD83" i="13"/>
  <c r="AD85" i="13" s="1"/>
  <c r="AV242" i="13" s="1"/>
  <c r="AC94" i="13"/>
  <c r="AC83" i="13"/>
  <c r="AC85" i="13" s="1"/>
  <c r="AA5" i="13"/>
  <c r="AB83" i="13"/>
  <c r="AB85" i="13" s="1"/>
  <c r="AT242" i="13" s="1"/>
  <c r="Z5" i="13"/>
  <c r="AA83" i="13"/>
  <c r="AA85" i="13" s="1"/>
  <c r="AA86" i="13" s="1"/>
  <c r="Z83" i="13"/>
  <c r="Z85" i="13" s="1"/>
  <c r="Y83" i="13"/>
  <c r="Y85" i="13" s="1"/>
  <c r="Y86" i="13" s="1"/>
  <c r="X94" i="13"/>
  <c r="X83" i="13"/>
  <c r="X85" i="13" s="1"/>
  <c r="V94" i="13"/>
  <c r="V83" i="13"/>
  <c r="V85" i="13" s="1"/>
  <c r="AN242" i="13" s="1"/>
  <c r="T5" i="13"/>
  <c r="U83" i="13"/>
  <c r="U85" i="13" s="1"/>
  <c r="S5" i="13"/>
  <c r="T83" i="13"/>
  <c r="T85" i="13" s="1"/>
  <c r="T7" i="13" s="1"/>
  <c r="R5" i="13"/>
  <c r="S83" i="13"/>
  <c r="S85" i="13" s="1"/>
  <c r="P5" i="13"/>
  <c r="Q83" i="13"/>
  <c r="Q85" i="13" s="1"/>
  <c r="R83" i="13"/>
  <c r="R85" i="13" s="1"/>
  <c r="R7" i="13" s="1"/>
  <c r="P94" i="13"/>
  <c r="P83" i="13"/>
  <c r="P85" i="13" s="1"/>
  <c r="P86" i="13" s="1"/>
  <c r="L83" i="13"/>
  <c r="L85" i="13" s="1"/>
  <c r="L7" i="13" s="1"/>
  <c r="O83" i="13"/>
  <c r="O85" i="13" s="1"/>
  <c r="N94" i="13"/>
  <c r="AI66" i="13"/>
  <c r="N83" i="13"/>
  <c r="N85" i="13" s="1"/>
  <c r="AF242" i="13" s="1"/>
  <c r="L5" i="13"/>
  <c r="M83" i="13"/>
  <c r="M85" i="13" s="1"/>
  <c r="AE242" i="13" s="1"/>
  <c r="K5" i="13"/>
  <c r="AH66" i="13"/>
  <c r="J5" i="13"/>
  <c r="K83" i="13"/>
  <c r="K85" i="13" s="1"/>
  <c r="AC242" i="13" s="1"/>
  <c r="J83" i="13"/>
  <c r="J85" i="13" s="1"/>
  <c r="J86" i="13" s="1"/>
  <c r="AI107" i="13"/>
  <c r="I94" i="13"/>
  <c r="I83" i="13"/>
  <c r="I85" i="13" s="1"/>
  <c r="I86" i="13" s="1"/>
  <c r="H94" i="13"/>
  <c r="H83" i="13"/>
  <c r="H85" i="13" s="1"/>
  <c r="H7" i="13" s="1"/>
  <c r="E83" i="13"/>
  <c r="E85" i="13" s="1"/>
  <c r="W242" i="13" s="1"/>
  <c r="F94" i="13"/>
  <c r="F83" i="13"/>
  <c r="F85" i="13" s="1"/>
  <c r="F7" i="13" s="1"/>
  <c r="D5" i="13"/>
  <c r="AI44" i="13"/>
  <c r="C5" i="13"/>
  <c r="D83" i="13"/>
  <c r="D85" i="13" s="1"/>
  <c r="V242" i="13" s="1"/>
  <c r="AI48" i="13"/>
  <c r="B5" i="13"/>
  <c r="C83" i="13"/>
  <c r="C85" i="13" s="1"/>
  <c r="C86" i="13" s="1"/>
  <c r="B83" i="13"/>
  <c r="B85" i="13" s="1"/>
  <c r="D239" i="13"/>
  <c r="U7" i="13"/>
  <c r="AM242" i="13"/>
  <c r="U86" i="13"/>
  <c r="AC7" i="13"/>
  <c r="AU242" i="13"/>
  <c r="AC86" i="13"/>
  <c r="R86" i="13"/>
  <c r="AJ242" i="13"/>
  <c r="Z7" i="13"/>
  <c r="Z86" i="13"/>
  <c r="AR242" i="13"/>
  <c r="AG6" i="13"/>
  <c r="P7" i="13"/>
  <c r="AH242" i="13"/>
  <c r="X86" i="13"/>
  <c r="X7" i="13"/>
  <c r="AP242" i="13"/>
  <c r="AF7" i="13"/>
  <c r="AX242" i="13"/>
  <c r="N86" i="13"/>
  <c r="N7" i="13"/>
  <c r="AG83" i="13"/>
  <c r="AG242" i="13"/>
  <c r="O86" i="13"/>
  <c r="O7" i="13"/>
  <c r="G222" i="13"/>
  <c r="J225" i="13"/>
  <c r="K225" i="13" s="1"/>
  <c r="L225" i="13" s="1"/>
  <c r="M225" i="13" s="1"/>
  <c r="N225" i="13" s="1"/>
  <c r="O225" i="13" s="1"/>
  <c r="P225" i="13" s="1"/>
  <c r="Q86" i="13"/>
  <c r="Q7" i="13"/>
  <c r="AI242" i="13"/>
  <c r="V7" i="13"/>
  <c r="V86" i="13"/>
  <c r="K86" i="13"/>
  <c r="K7" i="13"/>
  <c r="S86" i="13"/>
  <c r="S7" i="13"/>
  <c r="AK242" i="13"/>
  <c r="AA7" i="13"/>
  <c r="AS242" i="13"/>
  <c r="L86" i="13"/>
  <c r="AD242" i="13"/>
  <c r="AG85" i="13"/>
  <c r="AI62" i="13"/>
  <c r="I5" i="13"/>
  <c r="Q5" i="13"/>
  <c r="Y5" i="13"/>
  <c r="G94" i="13"/>
  <c r="O94" i="13"/>
  <c r="W94" i="13"/>
  <c r="AE94" i="13"/>
  <c r="D104" i="13"/>
  <c r="E227" i="13"/>
  <c r="E104" i="13" s="1"/>
  <c r="AF5" i="13"/>
  <c r="AH62" i="13"/>
  <c r="AE83" i="13"/>
  <c r="AE85" i="13" s="1"/>
  <c r="AH44" i="13"/>
  <c r="AH48" i="13"/>
  <c r="AH78" i="13"/>
  <c r="G83" i="13"/>
  <c r="G85" i="13" s="1"/>
  <c r="W83" i="13"/>
  <c r="W85" i="13" s="1"/>
  <c r="N5" i="13"/>
  <c r="AI78" i="13"/>
  <c r="Y7" i="13" l="1"/>
  <c r="I231" i="15"/>
  <c r="G267" i="15"/>
  <c r="H108" i="15"/>
  <c r="H232" i="15"/>
  <c r="AQ242" i="13"/>
  <c r="AL242" i="13"/>
  <c r="T86" i="13"/>
  <c r="AD86" i="13"/>
  <c r="I263" i="14"/>
  <c r="K227" i="14"/>
  <c r="H104" i="14"/>
  <c r="H228" i="14"/>
  <c r="I222" i="14"/>
  <c r="AD7" i="13"/>
  <c r="K267" i="17"/>
  <c r="M231" i="17"/>
  <c r="L226" i="17"/>
  <c r="K108" i="17"/>
  <c r="J108" i="16"/>
  <c r="K226" i="16"/>
  <c r="J267" i="16"/>
  <c r="L231" i="16"/>
  <c r="K226" i="15"/>
  <c r="AB86" i="13"/>
  <c r="AB7" i="13"/>
  <c r="Z242" i="13"/>
  <c r="H86" i="13"/>
  <c r="AH94" i="13"/>
  <c r="E7" i="13"/>
  <c r="M7" i="13"/>
  <c r="M86" i="13"/>
  <c r="U242" i="13"/>
  <c r="F86" i="13"/>
  <c r="C7" i="13"/>
  <c r="X242" i="13"/>
  <c r="E86" i="13"/>
  <c r="I7" i="13"/>
  <c r="AA242" i="13"/>
  <c r="AB242" i="13"/>
  <c r="J7" i="13"/>
  <c r="D86" i="13"/>
  <c r="D7" i="13"/>
  <c r="H222" i="13"/>
  <c r="AW242" i="13"/>
  <c r="AE86" i="13"/>
  <c r="AE7" i="13"/>
  <c r="B7" i="13"/>
  <c r="B86" i="13"/>
  <c r="AI85" i="13"/>
  <c r="T242" i="13"/>
  <c r="AH85" i="13"/>
  <c r="AI83" i="13"/>
  <c r="AH83" i="13"/>
  <c r="AI94" i="13"/>
  <c r="Y242" i="13"/>
  <c r="C237" i="13"/>
  <c r="B237" i="13"/>
  <c r="G86" i="13"/>
  <c r="G7" i="13"/>
  <c r="AO242" i="13"/>
  <c r="W86" i="13"/>
  <c r="W7" i="13"/>
  <c r="D263" i="13"/>
  <c r="F227" i="13"/>
  <c r="E228" i="13"/>
  <c r="I104" i="14" l="1"/>
  <c r="J222" i="14"/>
  <c r="L227" i="14"/>
  <c r="J263" i="14"/>
  <c r="H267" i="15"/>
  <c r="J231" i="15"/>
  <c r="I108" i="15"/>
  <c r="M226" i="17"/>
  <c r="L108" i="17"/>
  <c r="L267" i="17"/>
  <c r="N231" i="17"/>
  <c r="K267" i="16"/>
  <c r="M231" i="16"/>
  <c r="L226" i="16"/>
  <c r="K108" i="16"/>
  <c r="L226" i="15"/>
  <c r="A7" i="13"/>
  <c r="K6" i="13"/>
  <c r="I222" i="13"/>
  <c r="E263" i="13"/>
  <c r="G227" i="13"/>
  <c r="F228" i="13"/>
  <c r="F104" i="13"/>
  <c r="AH86" i="13"/>
  <c r="AI86" i="13"/>
  <c r="K231" i="15" l="1"/>
  <c r="I267" i="15"/>
  <c r="J108" i="15"/>
  <c r="K263" i="14"/>
  <c r="M227" i="14"/>
  <c r="K222" i="14"/>
  <c r="J104" i="14"/>
  <c r="M267" i="17"/>
  <c r="O231" i="17"/>
  <c r="N226" i="17"/>
  <c r="M108" i="17"/>
  <c r="M226" i="16"/>
  <c r="L108" i="16"/>
  <c r="L267" i="16"/>
  <c r="N231" i="16"/>
  <c r="M226" i="15"/>
  <c r="H227" i="13"/>
  <c r="F263" i="13"/>
  <c r="G104" i="13"/>
  <c r="G228" i="13"/>
  <c r="J222" i="13"/>
  <c r="L222" i="14" l="1"/>
  <c r="K104" i="14"/>
  <c r="L263" i="14"/>
  <c r="N227" i="14"/>
  <c r="J267" i="15"/>
  <c r="L231" i="15"/>
  <c r="K108" i="15"/>
  <c r="O226" i="17"/>
  <c r="N108" i="17"/>
  <c r="N267" i="17"/>
  <c r="P231" i="17"/>
  <c r="O267" i="17" s="1"/>
  <c r="M267" i="16"/>
  <c r="O231" i="16"/>
  <c r="N226" i="16"/>
  <c r="M108" i="16"/>
  <c r="N226" i="15"/>
  <c r="K222" i="13"/>
  <c r="G263" i="13"/>
  <c r="I227" i="13"/>
  <c r="H104" i="13"/>
  <c r="H228" i="13"/>
  <c r="M231" i="15" l="1"/>
  <c r="K267" i="15"/>
  <c r="L108" i="15"/>
  <c r="O227" i="14"/>
  <c r="M263" i="14"/>
  <c r="M222" i="14"/>
  <c r="L104" i="14"/>
  <c r="P226" i="17"/>
  <c r="O108" i="17"/>
  <c r="O226" i="16"/>
  <c r="N108" i="16"/>
  <c r="N267" i="16"/>
  <c r="P231" i="16"/>
  <c r="O267" i="16" s="1"/>
  <c r="O226" i="15"/>
  <c r="L222" i="13"/>
  <c r="H263" i="13"/>
  <c r="J227" i="13"/>
  <c r="I104" i="13"/>
  <c r="N222" i="14" l="1"/>
  <c r="M104" i="14"/>
  <c r="P227" i="14"/>
  <c r="O263" i="14" s="1"/>
  <c r="N263" i="14"/>
  <c r="L267" i="15"/>
  <c r="N231" i="15"/>
  <c r="M108" i="15"/>
  <c r="AI108" i="17"/>
  <c r="AH108" i="17"/>
  <c r="P226" i="16"/>
  <c r="O108" i="16"/>
  <c r="P226" i="15"/>
  <c r="K227" i="13"/>
  <c r="I263" i="13"/>
  <c r="J104" i="13"/>
  <c r="M222" i="13"/>
  <c r="N104" i="14" l="1"/>
  <c r="O222" i="14"/>
  <c r="M267" i="15"/>
  <c r="O231" i="15"/>
  <c r="N108" i="15"/>
  <c r="AI108" i="16"/>
  <c r="AH108" i="16"/>
  <c r="N222" i="13"/>
  <c r="J263" i="13"/>
  <c r="L227" i="13"/>
  <c r="K104" i="13"/>
  <c r="P231" i="15" l="1"/>
  <c r="O267" i="15" s="1"/>
  <c r="N267" i="15"/>
  <c r="O108" i="15"/>
  <c r="AI108" i="15" s="1"/>
  <c r="O104" i="14"/>
  <c r="AI104" i="14" s="1"/>
  <c r="P222" i="14"/>
  <c r="AH104" i="14"/>
  <c r="AH108" i="15"/>
  <c r="K263" i="13"/>
  <c r="M227" i="13"/>
  <c r="L104" i="13"/>
  <c r="O222" i="13"/>
  <c r="P222" i="13" l="1"/>
  <c r="L263" i="13"/>
  <c r="N227" i="13"/>
  <c r="M104" i="13"/>
  <c r="M263" i="13" l="1"/>
  <c r="O227" i="13"/>
  <c r="N104" i="13"/>
  <c r="N263" i="13" l="1"/>
  <c r="P227" i="13"/>
  <c r="O263" i="13" s="1"/>
  <c r="O104" i="13"/>
  <c r="AH104" i="13" l="1"/>
  <c r="AI104" i="13"/>
  <c r="B78" i="12" l="1"/>
  <c r="B94" i="12" s="1"/>
  <c r="AF267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D267" i="12"/>
  <c r="C267" i="12"/>
  <c r="B267" i="12"/>
  <c r="A267" i="12"/>
  <c r="AF266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A266" i="12"/>
  <c r="AF265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A265" i="12"/>
  <c r="AF264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A264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B263" i="12"/>
  <c r="S238" i="12"/>
  <c r="AG228" i="12"/>
  <c r="AF228" i="12"/>
  <c r="AE228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C228" i="12"/>
  <c r="D227" i="12"/>
  <c r="C263" i="12" s="1"/>
  <c r="B227" i="12"/>
  <c r="AF263" i="12" s="1"/>
  <c r="D226" i="12"/>
  <c r="E226" i="12" s="1"/>
  <c r="F226" i="12" s="1"/>
  <c r="G226" i="12" s="1"/>
  <c r="H226" i="12" s="1"/>
  <c r="I226" i="12" s="1"/>
  <c r="J226" i="12" s="1"/>
  <c r="K226" i="12" s="1"/>
  <c r="L226" i="12" s="1"/>
  <c r="M226" i="12" s="1"/>
  <c r="N226" i="12" s="1"/>
  <c r="O226" i="12" s="1"/>
  <c r="P226" i="12" s="1"/>
  <c r="B226" i="12"/>
  <c r="E225" i="12"/>
  <c r="F225" i="12" s="1"/>
  <c r="G225" i="12" s="1"/>
  <c r="H225" i="12" s="1"/>
  <c r="I225" i="12" s="1"/>
  <c r="D225" i="12"/>
  <c r="B225" i="12"/>
  <c r="D224" i="12"/>
  <c r="E224" i="12" s="1"/>
  <c r="F224" i="12" s="1"/>
  <c r="G224" i="12" s="1"/>
  <c r="H224" i="12" s="1"/>
  <c r="B224" i="12"/>
  <c r="D223" i="12"/>
  <c r="B223" i="12"/>
  <c r="E222" i="12"/>
  <c r="F222" i="12" s="1"/>
  <c r="D222" i="12"/>
  <c r="B222" i="12"/>
  <c r="B228" i="12" s="1"/>
  <c r="AG220" i="12"/>
  <c r="AF220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AI113" i="12"/>
  <c r="AH113" i="12"/>
  <c r="AI112" i="12"/>
  <c r="AH112" i="12"/>
  <c r="AI111" i="12"/>
  <c r="AH111" i="12"/>
  <c r="AI110" i="12"/>
  <c r="AH110" i="12"/>
  <c r="AI109" i="12"/>
  <c r="AH109" i="12"/>
  <c r="AI108" i="12"/>
  <c r="AH108" i="12"/>
  <c r="AI107" i="12"/>
  <c r="AH107" i="12"/>
  <c r="AI106" i="12"/>
  <c r="AH106" i="12"/>
  <c r="AI105" i="12"/>
  <c r="AH105" i="12"/>
  <c r="AF104" i="12"/>
  <c r="AE104" i="12"/>
  <c r="AD104" i="12"/>
  <c r="AC104" i="12"/>
  <c r="AB104" i="12"/>
  <c r="AA104" i="12"/>
  <c r="Z104" i="12"/>
  <c r="X104" i="12"/>
  <c r="W104" i="12"/>
  <c r="V104" i="12"/>
  <c r="U104" i="12"/>
  <c r="T104" i="12"/>
  <c r="S104" i="12"/>
  <c r="R104" i="12"/>
  <c r="Q104" i="12"/>
  <c r="C104" i="12"/>
  <c r="AI103" i="12"/>
  <c r="AH103" i="12"/>
  <c r="AI102" i="12"/>
  <c r="AH102" i="12"/>
  <c r="AI101" i="12"/>
  <c r="AH101" i="12"/>
  <c r="AI100" i="12"/>
  <c r="AH100" i="12"/>
  <c r="AI99" i="12"/>
  <c r="AH99" i="12"/>
  <c r="AI98" i="12"/>
  <c r="AH98" i="12"/>
  <c r="AI97" i="12"/>
  <c r="AH97" i="12"/>
  <c r="AI96" i="12"/>
  <c r="AH96" i="12"/>
  <c r="AI95" i="12"/>
  <c r="AH95" i="12"/>
  <c r="AI93" i="12"/>
  <c r="AH93" i="12"/>
  <c r="AI92" i="12"/>
  <c r="AH92" i="12"/>
  <c r="AI91" i="12"/>
  <c r="AH91" i="12"/>
  <c r="AI90" i="12"/>
  <c r="AH90" i="12"/>
  <c r="AI89" i="12"/>
  <c r="AH89" i="12"/>
  <c r="AI88" i="12"/>
  <c r="AH88" i="12"/>
  <c r="AI87" i="12"/>
  <c r="AH87" i="12"/>
  <c r="AI84" i="12"/>
  <c r="AH84" i="12"/>
  <c r="AI82" i="12"/>
  <c r="AH82" i="12"/>
  <c r="AG82" i="12"/>
  <c r="AI81" i="12"/>
  <c r="AH81" i="12"/>
  <c r="AI80" i="12"/>
  <c r="AH80" i="12"/>
  <c r="AI79" i="12"/>
  <c r="AH79" i="12"/>
  <c r="AN78" i="12"/>
  <c r="AG78" i="12"/>
  <c r="AF78" i="12"/>
  <c r="AF94" i="12" s="1"/>
  <c r="AE78" i="12"/>
  <c r="AD5" i="12" s="1"/>
  <c r="AD78" i="12"/>
  <c r="AC5" i="12" s="1"/>
  <c r="AC78" i="12"/>
  <c r="AC94" i="12" s="1"/>
  <c r="AB78" i="12"/>
  <c r="AB94" i="12" s="1"/>
  <c r="AA78" i="12"/>
  <c r="AA94" i="12" s="1"/>
  <c r="Z78" i="12"/>
  <c r="Z94" i="12" s="1"/>
  <c r="Y78" i="12"/>
  <c r="Y94" i="12" s="1"/>
  <c r="X78" i="12"/>
  <c r="X94" i="12" s="1"/>
  <c r="W78" i="12"/>
  <c r="V5" i="12" s="1"/>
  <c r="V78" i="12"/>
  <c r="U5" i="12" s="1"/>
  <c r="U78" i="12"/>
  <c r="U94" i="12" s="1"/>
  <c r="T78" i="12"/>
  <c r="T94" i="12" s="1"/>
  <c r="S78" i="12"/>
  <c r="S94" i="12" s="1"/>
  <c r="R78" i="12"/>
  <c r="R94" i="12" s="1"/>
  <c r="Q78" i="12"/>
  <c r="Q94" i="12" s="1"/>
  <c r="P78" i="12"/>
  <c r="P94" i="12" s="1"/>
  <c r="O78" i="12"/>
  <c r="N5" i="12" s="1"/>
  <c r="N78" i="12"/>
  <c r="N94" i="12" s="1"/>
  <c r="M78" i="12"/>
  <c r="M94" i="12" s="1"/>
  <c r="L78" i="12"/>
  <c r="L94" i="12" s="1"/>
  <c r="K78" i="12"/>
  <c r="K94" i="12" s="1"/>
  <c r="J78" i="12"/>
  <c r="J94" i="12" s="1"/>
  <c r="I78" i="12"/>
  <c r="I94" i="12" s="1"/>
  <c r="H78" i="12"/>
  <c r="H94" i="12" s="1"/>
  <c r="G78" i="12"/>
  <c r="F5" i="12" s="1"/>
  <c r="F78" i="12"/>
  <c r="F94" i="12" s="1"/>
  <c r="E78" i="12"/>
  <c r="E94" i="12" s="1"/>
  <c r="D78" i="12"/>
  <c r="D94" i="12" s="1"/>
  <c r="C78" i="12"/>
  <c r="C94" i="12" s="1"/>
  <c r="AI77" i="12"/>
  <c r="AH77" i="12"/>
  <c r="AN76" i="12"/>
  <c r="AI76" i="12"/>
  <c r="AH76" i="12"/>
  <c r="AN75" i="12"/>
  <c r="AN77" i="12" s="1"/>
  <c r="AI75" i="12"/>
  <c r="AH75" i="12"/>
  <c r="AI74" i="12"/>
  <c r="AH74" i="12"/>
  <c r="AI73" i="12"/>
  <c r="AH73" i="12"/>
  <c r="AI72" i="12"/>
  <c r="AH72" i="12"/>
  <c r="AI71" i="12"/>
  <c r="AH71" i="12"/>
  <c r="AI70" i="12"/>
  <c r="AH70" i="12"/>
  <c r="AI69" i="12"/>
  <c r="AH69" i="12"/>
  <c r="AI68" i="12"/>
  <c r="AH68" i="12"/>
  <c r="AI67" i="12"/>
  <c r="AH67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AI65" i="12"/>
  <c r="AH65" i="12"/>
  <c r="AI64" i="12"/>
  <c r="AH64" i="12"/>
  <c r="AI63" i="12"/>
  <c r="AH63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I61" i="12"/>
  <c r="AH61" i="12"/>
  <c r="AG61" i="12"/>
  <c r="AG62" i="12" s="1"/>
  <c r="AG3" i="12" s="1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I47" i="12"/>
  <c r="AH47" i="12"/>
  <c r="AI46" i="12"/>
  <c r="AH46" i="12"/>
  <c r="AI45" i="12"/>
  <c r="AH45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AG4" i="12"/>
  <c r="K4" i="12"/>
  <c r="E4" i="12"/>
  <c r="H4" i="12" s="1"/>
  <c r="B4" i="12"/>
  <c r="S239" i="12" s="1"/>
  <c r="AG2" i="12"/>
  <c r="AF107" i="11"/>
  <c r="AC107" i="11"/>
  <c r="AA107" i="11"/>
  <c r="Z107" i="11"/>
  <c r="X107" i="11"/>
  <c r="W107" i="11"/>
  <c r="V104" i="11"/>
  <c r="V107" i="11"/>
  <c r="W44" i="11"/>
  <c r="U107" i="11"/>
  <c r="S107" i="11"/>
  <c r="AG85" i="12" l="1"/>
  <c r="AG6" i="12"/>
  <c r="AG83" i="12"/>
  <c r="D228" i="12"/>
  <c r="B104" i="12"/>
  <c r="AE5" i="12"/>
  <c r="AF83" i="12"/>
  <c r="AF85" i="12" s="1"/>
  <c r="AX242" i="12" s="1"/>
  <c r="AE83" i="12"/>
  <c r="AE85" i="12" s="1"/>
  <c r="AE7" i="12" s="1"/>
  <c r="AD94" i="12"/>
  <c r="AD83" i="12"/>
  <c r="AD85" i="12" s="1"/>
  <c r="AV242" i="12" s="1"/>
  <c r="AB5" i="12"/>
  <c r="AC83" i="12"/>
  <c r="AC85" i="12" s="1"/>
  <c r="AC7" i="12" s="1"/>
  <c r="AA5" i="12"/>
  <c r="AB83" i="12"/>
  <c r="AB85" i="12" s="1"/>
  <c r="AB86" i="12" s="1"/>
  <c r="Z5" i="12"/>
  <c r="Y5" i="12"/>
  <c r="AA83" i="12"/>
  <c r="AA85" i="12" s="1"/>
  <c r="AS242" i="12" s="1"/>
  <c r="Z83" i="12"/>
  <c r="Z85" i="12" s="1"/>
  <c r="Z7" i="12" s="1"/>
  <c r="X5" i="12"/>
  <c r="O83" i="12"/>
  <c r="O85" i="12" s="1"/>
  <c r="Y83" i="12"/>
  <c r="Y85" i="12" s="1"/>
  <c r="Y7" i="12" s="1"/>
  <c r="W5" i="12"/>
  <c r="X83" i="12"/>
  <c r="X85" i="12" s="1"/>
  <c r="X7" i="12" s="1"/>
  <c r="W83" i="12"/>
  <c r="W85" i="12" s="1"/>
  <c r="W86" i="12" s="1"/>
  <c r="V94" i="12"/>
  <c r="V83" i="12"/>
  <c r="V85" i="12" s="1"/>
  <c r="V7" i="12" s="1"/>
  <c r="T5" i="12"/>
  <c r="U83" i="12"/>
  <c r="U85" i="12" s="1"/>
  <c r="U7" i="12" s="1"/>
  <c r="S5" i="12"/>
  <c r="T83" i="12"/>
  <c r="T85" i="12" s="1"/>
  <c r="T7" i="12" s="1"/>
  <c r="R5" i="12"/>
  <c r="S83" i="12"/>
  <c r="S85" i="12" s="1"/>
  <c r="S86" i="12" s="1"/>
  <c r="Q5" i="12"/>
  <c r="R83" i="12"/>
  <c r="R85" i="12" s="1"/>
  <c r="AJ242" i="12" s="1"/>
  <c r="P5" i="12"/>
  <c r="Q83" i="12"/>
  <c r="Q85" i="12" s="1"/>
  <c r="Q7" i="12" s="1"/>
  <c r="O5" i="12"/>
  <c r="P83" i="12"/>
  <c r="P85" i="12" s="1"/>
  <c r="P86" i="12" s="1"/>
  <c r="M5" i="12"/>
  <c r="AH66" i="12"/>
  <c r="N83" i="12"/>
  <c r="N85" i="12" s="1"/>
  <c r="N7" i="12" s="1"/>
  <c r="L5" i="12"/>
  <c r="M83" i="12"/>
  <c r="M85" i="12" s="1"/>
  <c r="M7" i="12" s="1"/>
  <c r="K5" i="12"/>
  <c r="L83" i="12"/>
  <c r="L85" i="12" s="1"/>
  <c r="L7" i="12" s="1"/>
  <c r="B5" i="12"/>
  <c r="J5" i="12"/>
  <c r="K83" i="12"/>
  <c r="K85" i="12" s="1"/>
  <c r="K86" i="12" s="1"/>
  <c r="I5" i="12"/>
  <c r="J83" i="12"/>
  <c r="J85" i="12" s="1"/>
  <c r="J86" i="12" s="1"/>
  <c r="H5" i="12"/>
  <c r="I83" i="12"/>
  <c r="I85" i="12" s="1"/>
  <c r="I86" i="12" s="1"/>
  <c r="G5" i="12"/>
  <c r="H83" i="12"/>
  <c r="H85" i="12" s="1"/>
  <c r="H7" i="12" s="1"/>
  <c r="G83" i="12"/>
  <c r="G85" i="12" s="1"/>
  <c r="G86" i="12" s="1"/>
  <c r="E5" i="12"/>
  <c r="F83" i="12"/>
  <c r="F85" i="12" s="1"/>
  <c r="F7" i="12" s="1"/>
  <c r="C5" i="12"/>
  <c r="E83" i="12"/>
  <c r="E85" i="12" s="1"/>
  <c r="W242" i="12" s="1"/>
  <c r="D5" i="12"/>
  <c r="AI62" i="12"/>
  <c r="D83" i="12"/>
  <c r="D85" i="12" s="1"/>
  <c r="D7" i="12" s="1"/>
  <c r="C83" i="12"/>
  <c r="C85" i="12" s="1"/>
  <c r="C7" i="12" s="1"/>
  <c r="AI48" i="12"/>
  <c r="B83" i="12"/>
  <c r="B85" i="12" s="1"/>
  <c r="AD7" i="12"/>
  <c r="AD86" i="12"/>
  <c r="AG242" i="12"/>
  <c r="O86" i="12"/>
  <c r="O7" i="12"/>
  <c r="AW242" i="12"/>
  <c r="AE86" i="12"/>
  <c r="G222" i="12"/>
  <c r="AP242" i="12"/>
  <c r="X86" i="12"/>
  <c r="L86" i="12"/>
  <c r="AM242" i="12"/>
  <c r="J225" i="12"/>
  <c r="K225" i="12" s="1"/>
  <c r="L225" i="12" s="1"/>
  <c r="M225" i="12" s="1"/>
  <c r="N225" i="12" s="1"/>
  <c r="O225" i="12" s="1"/>
  <c r="P225" i="12" s="1"/>
  <c r="D239" i="12"/>
  <c r="AI66" i="12"/>
  <c r="G94" i="12"/>
  <c r="O94" i="12"/>
  <c r="W94" i="12"/>
  <c r="AE94" i="12"/>
  <c r="D104" i="12"/>
  <c r="E223" i="12"/>
  <c r="E227" i="12"/>
  <c r="AH62" i="12"/>
  <c r="AH78" i="12"/>
  <c r="AI78" i="12"/>
  <c r="AH44" i="12"/>
  <c r="AH48" i="12"/>
  <c r="AI44" i="12"/>
  <c r="AD242" i="12" l="1"/>
  <c r="Z242" i="12"/>
  <c r="AF7" i="12"/>
  <c r="AF86" i="12"/>
  <c r="AU242" i="12"/>
  <c r="AC86" i="12"/>
  <c r="AT242" i="12"/>
  <c r="AB7" i="12"/>
  <c r="AA86" i="12"/>
  <c r="AA7" i="12"/>
  <c r="Z86" i="12"/>
  <c r="AR242" i="12"/>
  <c r="Y86" i="12"/>
  <c r="AQ242" i="12"/>
  <c r="X242" i="12"/>
  <c r="V86" i="12"/>
  <c r="AF242" i="12"/>
  <c r="AH242" i="12"/>
  <c r="N86" i="12"/>
  <c r="AN242" i="12"/>
  <c r="AO242" i="12"/>
  <c r="W7" i="12"/>
  <c r="U242" i="12"/>
  <c r="Y242" i="12"/>
  <c r="R7" i="12"/>
  <c r="R86" i="12"/>
  <c r="AK242" i="12"/>
  <c r="S7" i="12"/>
  <c r="P7" i="12"/>
  <c r="U86" i="12"/>
  <c r="AL242" i="12"/>
  <c r="T86" i="12"/>
  <c r="AI242" i="12"/>
  <c r="Q86" i="12"/>
  <c r="AI94" i="12"/>
  <c r="M86" i="12"/>
  <c r="AE242" i="12"/>
  <c r="C237" i="12"/>
  <c r="K6" i="12" s="1"/>
  <c r="B237" i="12"/>
  <c r="E86" i="12"/>
  <c r="E7" i="12"/>
  <c r="AC242" i="12"/>
  <c r="K7" i="12"/>
  <c r="AB242" i="12"/>
  <c r="J7" i="12"/>
  <c r="I7" i="12"/>
  <c r="AA242" i="12"/>
  <c r="H86" i="12"/>
  <c r="AH94" i="12"/>
  <c r="G7" i="12"/>
  <c r="F86" i="12"/>
  <c r="C86" i="12"/>
  <c r="V242" i="12"/>
  <c r="AH83" i="12"/>
  <c r="D86" i="12"/>
  <c r="AI83" i="12"/>
  <c r="F223" i="12"/>
  <c r="E228" i="12"/>
  <c r="D263" i="12"/>
  <c r="F227" i="12"/>
  <c r="E104" i="12"/>
  <c r="H222" i="12"/>
  <c r="B86" i="12"/>
  <c r="AI85" i="12"/>
  <c r="B7" i="12"/>
  <c r="AH85" i="12"/>
  <c r="T242" i="12"/>
  <c r="A7" i="12" l="1"/>
  <c r="AI86" i="12"/>
  <c r="AH86" i="12"/>
  <c r="G223" i="12"/>
  <c r="F228" i="12"/>
  <c r="E263" i="12"/>
  <c r="G227" i="12"/>
  <c r="F104" i="12"/>
  <c r="I222" i="12"/>
  <c r="F263" i="12" l="1"/>
  <c r="H227" i="12"/>
  <c r="G104" i="12"/>
  <c r="H223" i="12"/>
  <c r="G228" i="12"/>
  <c r="J222" i="12"/>
  <c r="I223" i="12" l="1"/>
  <c r="H228" i="12"/>
  <c r="G263" i="12"/>
  <c r="I227" i="12"/>
  <c r="H104" i="12"/>
  <c r="K222" i="12"/>
  <c r="L222" i="12" l="1"/>
  <c r="H263" i="12"/>
  <c r="J227" i="12"/>
  <c r="I104" i="12"/>
  <c r="J223" i="12"/>
  <c r="K223" i="12" l="1"/>
  <c r="M222" i="12"/>
  <c r="K227" i="12"/>
  <c r="I263" i="12"/>
  <c r="J104" i="12"/>
  <c r="L227" i="12" l="1"/>
  <c r="J263" i="12"/>
  <c r="K104" i="12"/>
  <c r="N222" i="12"/>
  <c r="L223" i="12"/>
  <c r="M223" i="12" l="1"/>
  <c r="O222" i="12"/>
  <c r="K263" i="12"/>
  <c r="M227" i="12"/>
  <c r="L104" i="12"/>
  <c r="R107" i="11"/>
  <c r="R44" i="11"/>
  <c r="L263" i="12" l="1"/>
  <c r="N227" i="12"/>
  <c r="M104" i="12"/>
  <c r="P222" i="12"/>
  <c r="N223" i="12"/>
  <c r="M107" i="11"/>
  <c r="AI107" i="11" s="1"/>
  <c r="M44" i="11"/>
  <c r="F44" i="11"/>
  <c r="F48" i="11"/>
  <c r="B78" i="11"/>
  <c r="B94" i="11" s="1"/>
  <c r="B66" i="11"/>
  <c r="B62" i="11"/>
  <c r="B48" i="11"/>
  <c r="B44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B263" i="11"/>
  <c r="S23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C228" i="11"/>
  <c r="D227" i="11"/>
  <c r="C263" i="11" s="1"/>
  <c r="B227" i="11"/>
  <c r="AF263" i="11" s="1"/>
  <c r="D226" i="11"/>
  <c r="E226" i="11" s="1"/>
  <c r="F226" i="11" s="1"/>
  <c r="G226" i="11" s="1"/>
  <c r="H226" i="11" s="1"/>
  <c r="I226" i="11" s="1"/>
  <c r="J226" i="11" s="1"/>
  <c r="K226" i="11" s="1"/>
  <c r="L226" i="11" s="1"/>
  <c r="M226" i="11" s="1"/>
  <c r="N226" i="11" s="1"/>
  <c r="O226" i="11" s="1"/>
  <c r="P226" i="11" s="1"/>
  <c r="B226" i="11"/>
  <c r="D225" i="11"/>
  <c r="E225" i="11" s="1"/>
  <c r="F225" i="11" s="1"/>
  <c r="G225" i="11" s="1"/>
  <c r="H225" i="11" s="1"/>
  <c r="I225" i="11" s="1"/>
  <c r="B225" i="11"/>
  <c r="D224" i="11"/>
  <c r="D228" i="11" s="1"/>
  <c r="B224" i="11"/>
  <c r="D223" i="11"/>
  <c r="E223" i="11" s="1"/>
  <c r="B223" i="11"/>
  <c r="E222" i="11"/>
  <c r="F222" i="11" s="1"/>
  <c r="G222" i="11" s="1"/>
  <c r="D222" i="11"/>
  <c r="B222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I113" i="11"/>
  <c r="AH113" i="11"/>
  <c r="AI112" i="11"/>
  <c r="AH112" i="11"/>
  <c r="AI111" i="11"/>
  <c r="AH111" i="11"/>
  <c r="AI110" i="11"/>
  <c r="AH110" i="11"/>
  <c r="AI109" i="11"/>
  <c r="AH109" i="11"/>
  <c r="AI108" i="11"/>
  <c r="AH108" i="11"/>
  <c r="AI106" i="11"/>
  <c r="AH106" i="11"/>
  <c r="AI105" i="11"/>
  <c r="AH105" i="11"/>
  <c r="AF104" i="11"/>
  <c r="AE104" i="11"/>
  <c r="AD104" i="11"/>
  <c r="AC104" i="11"/>
  <c r="AB104" i="11"/>
  <c r="AA104" i="11"/>
  <c r="Z104" i="11"/>
  <c r="X104" i="11"/>
  <c r="W104" i="11"/>
  <c r="U104" i="11"/>
  <c r="T104" i="11"/>
  <c r="S104" i="11"/>
  <c r="R104" i="11"/>
  <c r="Q104" i="11"/>
  <c r="C104" i="11"/>
  <c r="AI103" i="11"/>
  <c r="AH103" i="11"/>
  <c r="AI102" i="11"/>
  <c r="AH102" i="11"/>
  <c r="AI101" i="11"/>
  <c r="AH101" i="11"/>
  <c r="AI100" i="11"/>
  <c r="AH100" i="11"/>
  <c r="AI99" i="11"/>
  <c r="AH99" i="11"/>
  <c r="AI98" i="11"/>
  <c r="AH98" i="11"/>
  <c r="AI97" i="11"/>
  <c r="AH97" i="11"/>
  <c r="AI96" i="11"/>
  <c r="AH96" i="11"/>
  <c r="AI95" i="11"/>
  <c r="AH95" i="11"/>
  <c r="AC94" i="11"/>
  <c r="AI93" i="11"/>
  <c r="AH93" i="11"/>
  <c r="AI92" i="11"/>
  <c r="AH92" i="11"/>
  <c r="AI91" i="11"/>
  <c r="AH91" i="11"/>
  <c r="AI90" i="11"/>
  <c r="AH90" i="11"/>
  <c r="AI89" i="11"/>
  <c r="AH89" i="11"/>
  <c r="AI88" i="11"/>
  <c r="AH88" i="11"/>
  <c r="AI87" i="11"/>
  <c r="AH87" i="11"/>
  <c r="AI84" i="11"/>
  <c r="AH84" i="11"/>
  <c r="AI82" i="11"/>
  <c r="AH82" i="11"/>
  <c r="AG82" i="11"/>
  <c r="AI81" i="11"/>
  <c r="AH81" i="11"/>
  <c r="AI80" i="11"/>
  <c r="AH80" i="11"/>
  <c r="AI79" i="11"/>
  <c r="AH79" i="11"/>
  <c r="AN78" i="11"/>
  <c r="AG78" i="11"/>
  <c r="AF78" i="11"/>
  <c r="AF94" i="11" s="1"/>
  <c r="AE78" i="11"/>
  <c r="AD5" i="11" s="1"/>
  <c r="AD78" i="11"/>
  <c r="AC5" i="11" s="1"/>
  <c r="AC78" i="11"/>
  <c r="AB78" i="11"/>
  <c r="AB94" i="11" s="1"/>
  <c r="AA78" i="11"/>
  <c r="AA94" i="11" s="1"/>
  <c r="Z78" i="11"/>
  <c r="Z94" i="11" s="1"/>
  <c r="X78" i="11"/>
  <c r="X94" i="11" s="1"/>
  <c r="W78" i="11"/>
  <c r="V5" i="11" s="1"/>
  <c r="V78" i="11"/>
  <c r="U5" i="11" s="1"/>
  <c r="U78" i="11"/>
  <c r="T5" i="11" s="1"/>
  <c r="T78" i="11"/>
  <c r="T94" i="11" s="1"/>
  <c r="S78" i="11"/>
  <c r="S94" i="11" s="1"/>
  <c r="R78" i="11"/>
  <c r="R94" i="11" s="1"/>
  <c r="Q78" i="11"/>
  <c r="Q94" i="11" s="1"/>
  <c r="P78" i="11"/>
  <c r="P94" i="11" s="1"/>
  <c r="O78" i="11"/>
  <c r="N5" i="11" s="1"/>
  <c r="N78" i="11"/>
  <c r="M5" i="11" s="1"/>
  <c r="M78" i="11"/>
  <c r="L5" i="11" s="1"/>
  <c r="L78" i="11"/>
  <c r="L94" i="11" s="1"/>
  <c r="K78" i="11"/>
  <c r="K94" i="11" s="1"/>
  <c r="J78" i="11"/>
  <c r="J94" i="11" s="1"/>
  <c r="I78" i="11"/>
  <c r="I94" i="11" s="1"/>
  <c r="H78" i="11"/>
  <c r="H94" i="11" s="1"/>
  <c r="G78" i="11"/>
  <c r="F5" i="11" s="1"/>
  <c r="F78" i="11"/>
  <c r="E5" i="11" s="1"/>
  <c r="E78" i="11"/>
  <c r="D5" i="11" s="1"/>
  <c r="D78" i="11"/>
  <c r="D94" i="11" s="1"/>
  <c r="C78" i="11"/>
  <c r="C94" i="11" s="1"/>
  <c r="AI77" i="11"/>
  <c r="AH77" i="11"/>
  <c r="AN76" i="11"/>
  <c r="AI76" i="11"/>
  <c r="AH76" i="11"/>
  <c r="AN75" i="11"/>
  <c r="AI75" i="11"/>
  <c r="AH75" i="11"/>
  <c r="AI74" i="11"/>
  <c r="AH74" i="1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G66" i="11"/>
  <c r="AG4" i="11" s="1"/>
  <c r="AF66" i="11"/>
  <c r="AE66" i="11"/>
  <c r="AD66" i="11"/>
  <c r="AC66" i="11"/>
  <c r="AB66" i="11"/>
  <c r="AA66" i="11"/>
  <c r="Z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AI65" i="11"/>
  <c r="AH65" i="11"/>
  <c r="AI64" i="11"/>
  <c r="AH64" i="11"/>
  <c r="AI63" i="11"/>
  <c r="AH63" i="11"/>
  <c r="AF62" i="11"/>
  <c r="AE62" i="11"/>
  <c r="AD62" i="11"/>
  <c r="AC62" i="11"/>
  <c r="AB62" i="11"/>
  <c r="AA62" i="11"/>
  <c r="Z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I61" i="11"/>
  <c r="AH61" i="11"/>
  <c r="AG61" i="11"/>
  <c r="AG62" i="11" s="1"/>
  <c r="AG3" i="11" s="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D48" i="11"/>
  <c r="C48" i="11"/>
  <c r="AI47" i="11"/>
  <c r="AH47" i="11"/>
  <c r="AI46" i="11"/>
  <c r="AH46" i="11"/>
  <c r="AI45" i="11"/>
  <c r="AH45" i="11"/>
  <c r="AG44" i="11"/>
  <c r="AF44" i="11"/>
  <c r="AE44" i="11"/>
  <c r="AD44" i="11"/>
  <c r="AC44" i="11"/>
  <c r="AB44" i="11"/>
  <c r="AA44" i="11"/>
  <c r="Z44" i="11"/>
  <c r="X44" i="11"/>
  <c r="V44" i="11"/>
  <c r="U44" i="11"/>
  <c r="T44" i="11"/>
  <c r="S44" i="11"/>
  <c r="Q44" i="11"/>
  <c r="P44" i="11"/>
  <c r="O44" i="11"/>
  <c r="N44" i="11"/>
  <c r="L44" i="11"/>
  <c r="K44" i="11"/>
  <c r="J44" i="11"/>
  <c r="I44" i="11"/>
  <c r="H44" i="11"/>
  <c r="G44" i="11"/>
  <c r="E44" i="11"/>
  <c r="D44" i="11"/>
  <c r="C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B5" i="11"/>
  <c r="X5" i="11"/>
  <c r="W5" i="11"/>
  <c r="K4" i="11"/>
  <c r="E4" i="11"/>
  <c r="H4" i="11" s="1"/>
  <c r="B4" i="11"/>
  <c r="D239" i="11" s="1"/>
  <c r="AG2" i="11"/>
  <c r="AA107" i="10"/>
  <c r="Z107" i="10"/>
  <c r="X107" i="10"/>
  <c r="V107" i="10"/>
  <c r="B228" i="11" l="1"/>
  <c r="E224" i="11"/>
  <c r="F224" i="11" s="1"/>
  <c r="G224" i="11" s="1"/>
  <c r="H224" i="11" s="1"/>
  <c r="AN77" i="11"/>
  <c r="AH107" i="11"/>
  <c r="B104" i="11"/>
  <c r="O223" i="12"/>
  <c r="M263" i="12"/>
  <c r="O227" i="12"/>
  <c r="N104" i="12"/>
  <c r="AE5" i="11"/>
  <c r="AF83" i="11"/>
  <c r="AF85" i="11" s="1"/>
  <c r="AX242" i="11" s="1"/>
  <c r="AE83" i="11"/>
  <c r="AE85" i="11" s="1"/>
  <c r="AE86" i="11" s="1"/>
  <c r="AD83" i="11"/>
  <c r="AD85" i="11" s="1"/>
  <c r="AC83" i="11"/>
  <c r="AC85" i="11" s="1"/>
  <c r="AB83" i="11"/>
  <c r="AB85" i="11" s="1"/>
  <c r="AT242" i="11" s="1"/>
  <c r="AA5" i="11"/>
  <c r="Z5" i="11"/>
  <c r="AA83" i="11"/>
  <c r="AA85" i="11" s="1"/>
  <c r="Z83" i="11"/>
  <c r="Z85" i="11" s="1"/>
  <c r="Z86" i="11" s="1"/>
  <c r="Y5" i="11"/>
  <c r="X83" i="11"/>
  <c r="X85" i="11" s="1"/>
  <c r="W83" i="11"/>
  <c r="W85" i="11" s="1"/>
  <c r="V83" i="11"/>
  <c r="V85" i="11" s="1"/>
  <c r="AN242" i="11" s="1"/>
  <c r="U94" i="11"/>
  <c r="U83" i="11"/>
  <c r="U85" i="11" s="1"/>
  <c r="R83" i="11"/>
  <c r="R85" i="11" s="1"/>
  <c r="S5" i="11"/>
  <c r="T83" i="11"/>
  <c r="T85" i="11" s="1"/>
  <c r="T86" i="11" s="1"/>
  <c r="R5" i="11"/>
  <c r="S83" i="11"/>
  <c r="S85" i="11" s="1"/>
  <c r="S86" i="11" s="1"/>
  <c r="Q5" i="11"/>
  <c r="P5" i="11"/>
  <c r="Q83" i="11"/>
  <c r="Q85" i="11" s="1"/>
  <c r="O5" i="11"/>
  <c r="P83" i="11"/>
  <c r="P85" i="11" s="1"/>
  <c r="P86" i="11" s="1"/>
  <c r="O83" i="11"/>
  <c r="O85" i="11" s="1"/>
  <c r="AG242" i="11" s="1"/>
  <c r="AI66" i="11"/>
  <c r="AH66" i="11"/>
  <c r="AI62" i="11"/>
  <c r="N83" i="11"/>
  <c r="N85" i="11" s="1"/>
  <c r="AF242" i="11" s="1"/>
  <c r="M94" i="11"/>
  <c r="M83" i="11"/>
  <c r="M85" i="11" s="1"/>
  <c r="M7" i="11" s="1"/>
  <c r="L83" i="11"/>
  <c r="L85" i="11" s="1"/>
  <c r="L7" i="11" s="1"/>
  <c r="K5" i="11"/>
  <c r="J5" i="11"/>
  <c r="I5" i="11"/>
  <c r="H5" i="11"/>
  <c r="I83" i="11"/>
  <c r="I85" i="11" s="1"/>
  <c r="AA242" i="11" s="1"/>
  <c r="G5" i="11"/>
  <c r="H83" i="11"/>
  <c r="H85" i="11" s="1"/>
  <c r="H7" i="11" s="1"/>
  <c r="G83" i="11"/>
  <c r="G85" i="11" s="1"/>
  <c r="G7" i="11" s="1"/>
  <c r="F83" i="11"/>
  <c r="F85" i="11" s="1"/>
  <c r="F86" i="11" s="1"/>
  <c r="J83" i="11"/>
  <c r="J85" i="11" s="1"/>
  <c r="J7" i="11" s="1"/>
  <c r="K83" i="11"/>
  <c r="K85" i="11" s="1"/>
  <c r="K86" i="11" s="1"/>
  <c r="E94" i="11"/>
  <c r="E83" i="11"/>
  <c r="E85" i="11" s="1"/>
  <c r="W242" i="11" s="1"/>
  <c r="AI44" i="11"/>
  <c r="C5" i="11"/>
  <c r="D83" i="11"/>
  <c r="D85" i="11" s="1"/>
  <c r="D7" i="11" s="1"/>
  <c r="B5" i="11"/>
  <c r="C83" i="11"/>
  <c r="C85" i="11" s="1"/>
  <c r="B83" i="11"/>
  <c r="B85" i="11" s="1"/>
  <c r="B86" i="11" s="1"/>
  <c r="AF5" i="11"/>
  <c r="AI48" i="11"/>
  <c r="O7" i="11"/>
  <c r="X86" i="11"/>
  <c r="X7" i="11"/>
  <c r="AP242" i="11"/>
  <c r="Q86" i="11"/>
  <c r="Q7" i="11"/>
  <c r="AI242" i="11"/>
  <c r="Y7" i="11"/>
  <c r="AQ242" i="11"/>
  <c r="AG83" i="11"/>
  <c r="AO242" i="11"/>
  <c r="W86" i="11"/>
  <c r="W7" i="11"/>
  <c r="AW242" i="11"/>
  <c r="AG6" i="11"/>
  <c r="AB7" i="11"/>
  <c r="AB86" i="11"/>
  <c r="R86" i="11"/>
  <c r="R7" i="11"/>
  <c r="AJ242" i="11"/>
  <c r="J225" i="11"/>
  <c r="K225" i="11" s="1"/>
  <c r="L225" i="11" s="1"/>
  <c r="M225" i="11" s="1"/>
  <c r="N225" i="11" s="1"/>
  <c r="O225" i="11" s="1"/>
  <c r="P225" i="11" s="1"/>
  <c r="P7" i="11"/>
  <c r="AH242" i="11"/>
  <c r="AM242" i="11"/>
  <c r="U7" i="11"/>
  <c r="U86" i="11"/>
  <c r="AU242" i="11"/>
  <c r="AC7" i="11"/>
  <c r="AC86" i="11"/>
  <c r="AG85" i="11"/>
  <c r="S7" i="11"/>
  <c r="AK242" i="11"/>
  <c r="H222" i="11"/>
  <c r="AF86" i="11"/>
  <c r="AF7" i="11"/>
  <c r="AV242" i="11"/>
  <c r="AD7" i="11"/>
  <c r="AD86" i="11"/>
  <c r="Z7" i="11"/>
  <c r="AR242" i="11"/>
  <c r="AA86" i="11"/>
  <c r="AA7" i="11"/>
  <c r="AS242" i="11"/>
  <c r="F223" i="11"/>
  <c r="G223" i="11" s="1"/>
  <c r="H223" i="11" s="1"/>
  <c r="I223" i="11" s="1"/>
  <c r="J223" i="11" s="1"/>
  <c r="K223" i="11" s="1"/>
  <c r="L223" i="11" s="1"/>
  <c r="M223" i="11" s="1"/>
  <c r="N223" i="11" s="1"/>
  <c r="O223" i="11" s="1"/>
  <c r="P223" i="11" s="1"/>
  <c r="N94" i="11"/>
  <c r="G94" i="11"/>
  <c r="O94" i="11"/>
  <c r="W94" i="11"/>
  <c r="AE94" i="11"/>
  <c r="D104" i="11"/>
  <c r="E227" i="11"/>
  <c r="E228" i="11" s="1"/>
  <c r="S239" i="11"/>
  <c r="AD94" i="11"/>
  <c r="AH62" i="11"/>
  <c r="V94" i="11"/>
  <c r="AH78" i="11"/>
  <c r="F94" i="11"/>
  <c r="AI78" i="11"/>
  <c r="AH44" i="11"/>
  <c r="AH48" i="11"/>
  <c r="S107" i="10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5" i="9"/>
  <c r="AH46" i="9"/>
  <c r="AH47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3" i="9"/>
  <c r="AH64" i="9"/>
  <c r="AH65" i="9"/>
  <c r="AH67" i="9"/>
  <c r="AH68" i="9"/>
  <c r="AH69" i="9"/>
  <c r="AH70" i="9"/>
  <c r="AH71" i="9"/>
  <c r="AH72" i="9"/>
  <c r="AH73" i="9"/>
  <c r="AH74" i="9"/>
  <c r="AH75" i="9"/>
  <c r="AH76" i="9"/>
  <c r="AH77" i="9"/>
  <c r="AH79" i="9"/>
  <c r="AH80" i="9"/>
  <c r="AH81" i="9"/>
  <c r="AH82" i="9"/>
  <c r="AH84" i="9"/>
  <c r="AH87" i="9"/>
  <c r="AH88" i="9"/>
  <c r="AH89" i="9"/>
  <c r="AH90" i="9"/>
  <c r="AH91" i="9"/>
  <c r="AH92" i="9"/>
  <c r="AH93" i="9"/>
  <c r="AH95" i="9"/>
  <c r="AH96" i="9"/>
  <c r="AH97" i="9"/>
  <c r="AH98" i="9"/>
  <c r="AH99" i="9"/>
  <c r="AH100" i="9"/>
  <c r="AH101" i="9"/>
  <c r="AH102" i="9"/>
  <c r="AH103" i="9"/>
  <c r="AH105" i="9"/>
  <c r="AH106" i="9"/>
  <c r="AH108" i="9"/>
  <c r="AH109" i="9"/>
  <c r="AH110" i="9"/>
  <c r="AH111" i="9"/>
  <c r="AH112" i="9"/>
  <c r="AH113" i="9"/>
  <c r="V7" i="11" l="1"/>
  <c r="L86" i="11"/>
  <c r="V86" i="11"/>
  <c r="AD242" i="11"/>
  <c r="N86" i="11"/>
  <c r="N7" i="11"/>
  <c r="E7" i="11"/>
  <c r="AE7" i="11"/>
  <c r="O86" i="11"/>
  <c r="E86" i="11"/>
  <c r="N263" i="12"/>
  <c r="P227" i="12"/>
  <c r="O263" i="12" s="1"/>
  <c r="O104" i="12"/>
  <c r="P223" i="12"/>
  <c r="AL242" i="11"/>
  <c r="T7" i="11"/>
  <c r="M86" i="11"/>
  <c r="AE242" i="11"/>
  <c r="D86" i="11"/>
  <c r="X242" i="11"/>
  <c r="F7" i="11"/>
  <c r="Y242" i="11"/>
  <c r="H86" i="11"/>
  <c r="AC242" i="11"/>
  <c r="AB242" i="11"/>
  <c r="J86" i="11"/>
  <c r="B237" i="11"/>
  <c r="I7" i="11"/>
  <c r="I86" i="11"/>
  <c r="K7" i="11"/>
  <c r="C237" i="11"/>
  <c r="G86" i="11"/>
  <c r="Z242" i="11"/>
  <c r="AH85" i="11"/>
  <c r="AI94" i="11"/>
  <c r="B7" i="11"/>
  <c r="AI83" i="11"/>
  <c r="T242" i="11"/>
  <c r="U242" i="11"/>
  <c r="AI85" i="11"/>
  <c r="C7" i="11"/>
  <c r="C86" i="11"/>
  <c r="AH83" i="11"/>
  <c r="V242" i="11"/>
  <c r="D263" i="11"/>
  <c r="F227" i="11"/>
  <c r="E104" i="11"/>
  <c r="AH94" i="11"/>
  <c r="I222" i="11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B263" i="10"/>
  <c r="S23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C228" i="10"/>
  <c r="D227" i="10"/>
  <c r="C263" i="10" s="1"/>
  <c r="B227" i="10"/>
  <c r="AF263" i="10" s="1"/>
  <c r="D226" i="10"/>
  <c r="E226" i="10" s="1"/>
  <c r="F226" i="10" s="1"/>
  <c r="G226" i="10" s="1"/>
  <c r="H226" i="10" s="1"/>
  <c r="I226" i="10" s="1"/>
  <c r="J226" i="10" s="1"/>
  <c r="K226" i="10" s="1"/>
  <c r="L226" i="10" s="1"/>
  <c r="M226" i="10" s="1"/>
  <c r="N226" i="10" s="1"/>
  <c r="O226" i="10" s="1"/>
  <c r="P226" i="10" s="1"/>
  <c r="B226" i="10"/>
  <c r="D225" i="10"/>
  <c r="E225" i="10" s="1"/>
  <c r="F225" i="10" s="1"/>
  <c r="G225" i="10" s="1"/>
  <c r="H225" i="10" s="1"/>
  <c r="I225" i="10" s="1"/>
  <c r="B225" i="10"/>
  <c r="D224" i="10"/>
  <c r="E224" i="10" s="1"/>
  <c r="F224" i="10" s="1"/>
  <c r="G224" i="10" s="1"/>
  <c r="H224" i="10" s="1"/>
  <c r="B224" i="10"/>
  <c r="D223" i="10"/>
  <c r="D228" i="10" s="1"/>
  <c r="B223" i="10"/>
  <c r="E222" i="10"/>
  <c r="F222" i="10" s="1"/>
  <c r="D222" i="10"/>
  <c r="B222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I113" i="10"/>
  <c r="AH113" i="10"/>
  <c r="AI112" i="10"/>
  <c r="AH112" i="10"/>
  <c r="AI111" i="10"/>
  <c r="AH111" i="10"/>
  <c r="AI110" i="10"/>
  <c r="AH110" i="10"/>
  <c r="AI109" i="10"/>
  <c r="AH109" i="10"/>
  <c r="AI108" i="10"/>
  <c r="AH108" i="10"/>
  <c r="AI107" i="10"/>
  <c r="AH107" i="10"/>
  <c r="AI106" i="10"/>
  <c r="AH106" i="10"/>
  <c r="AI105" i="10"/>
  <c r="AH105" i="10"/>
  <c r="AF104" i="10"/>
  <c r="AE104" i="10"/>
  <c r="AD104" i="10"/>
  <c r="AC104" i="10"/>
  <c r="AB104" i="10"/>
  <c r="AA104" i="10"/>
  <c r="Z104" i="10"/>
  <c r="X104" i="10"/>
  <c r="W104" i="10"/>
  <c r="V104" i="10"/>
  <c r="U104" i="10"/>
  <c r="T104" i="10"/>
  <c r="S104" i="10"/>
  <c r="R104" i="10"/>
  <c r="Q104" i="10"/>
  <c r="C104" i="10"/>
  <c r="B104" i="10"/>
  <c r="AI103" i="10"/>
  <c r="AH103" i="10"/>
  <c r="AI102" i="10"/>
  <c r="AH102" i="10"/>
  <c r="AI101" i="10"/>
  <c r="AH101" i="10"/>
  <c r="AI100" i="10"/>
  <c r="AH100" i="10"/>
  <c r="AI99" i="10"/>
  <c r="AH99" i="10"/>
  <c r="AI98" i="10"/>
  <c r="AH98" i="10"/>
  <c r="AI97" i="10"/>
  <c r="AH97" i="10"/>
  <c r="AI96" i="10"/>
  <c r="AH96" i="10"/>
  <c r="AI95" i="10"/>
  <c r="AH95" i="10"/>
  <c r="AI93" i="10"/>
  <c r="AH93" i="10"/>
  <c r="AI92" i="10"/>
  <c r="AH92" i="10"/>
  <c r="AI91" i="10"/>
  <c r="AH91" i="10"/>
  <c r="AI90" i="10"/>
  <c r="AH90" i="10"/>
  <c r="AI89" i="10"/>
  <c r="AH89" i="10"/>
  <c r="AI88" i="10"/>
  <c r="AH88" i="10"/>
  <c r="AI87" i="10"/>
  <c r="AH87" i="10"/>
  <c r="AI84" i="10"/>
  <c r="AH84" i="10"/>
  <c r="AI82" i="10"/>
  <c r="AH82" i="10"/>
  <c r="AG82" i="10"/>
  <c r="AI81" i="10"/>
  <c r="AH81" i="10"/>
  <c r="AI80" i="10"/>
  <c r="AH80" i="10"/>
  <c r="AI79" i="10"/>
  <c r="AH79" i="10"/>
  <c r="AN78" i="10"/>
  <c r="AG78" i="10"/>
  <c r="AF78" i="10"/>
  <c r="AF94" i="10" s="1"/>
  <c r="AE78" i="10"/>
  <c r="AE94" i="10" s="1"/>
  <c r="AD78" i="10"/>
  <c r="AD94" i="10" s="1"/>
  <c r="AC78" i="10"/>
  <c r="AC94" i="10" s="1"/>
  <c r="AB78" i="10"/>
  <c r="AB94" i="10" s="1"/>
  <c r="AA78" i="10"/>
  <c r="AA94" i="10" s="1"/>
  <c r="Z78" i="10"/>
  <c r="Z94" i="10" s="1"/>
  <c r="X78" i="10"/>
  <c r="X94" i="10" s="1"/>
  <c r="W78" i="10"/>
  <c r="W94" i="10" s="1"/>
  <c r="V78" i="10"/>
  <c r="V94" i="10" s="1"/>
  <c r="U78" i="10"/>
  <c r="U94" i="10" s="1"/>
  <c r="T78" i="10"/>
  <c r="T94" i="10" s="1"/>
  <c r="S78" i="10"/>
  <c r="S94" i="10" s="1"/>
  <c r="R78" i="10"/>
  <c r="R94" i="10" s="1"/>
  <c r="Q78" i="10"/>
  <c r="Q94" i="10" s="1"/>
  <c r="P78" i="10"/>
  <c r="P94" i="10" s="1"/>
  <c r="O78" i="10"/>
  <c r="O94" i="10" s="1"/>
  <c r="N78" i="10"/>
  <c r="N94" i="10" s="1"/>
  <c r="M78" i="10"/>
  <c r="M94" i="10" s="1"/>
  <c r="L78" i="10"/>
  <c r="L94" i="10" s="1"/>
  <c r="K78" i="10"/>
  <c r="K94" i="10" s="1"/>
  <c r="J78" i="10"/>
  <c r="J94" i="10" s="1"/>
  <c r="I78" i="10"/>
  <c r="I94" i="10" s="1"/>
  <c r="H78" i="10"/>
  <c r="H94" i="10" s="1"/>
  <c r="G78" i="10"/>
  <c r="G94" i="10" s="1"/>
  <c r="F78" i="10"/>
  <c r="F94" i="10" s="1"/>
  <c r="E78" i="10"/>
  <c r="E94" i="10" s="1"/>
  <c r="D78" i="10"/>
  <c r="D94" i="10" s="1"/>
  <c r="C78" i="10"/>
  <c r="C94" i="10" s="1"/>
  <c r="B78" i="10"/>
  <c r="B94" i="10" s="1"/>
  <c r="AI77" i="10"/>
  <c r="AH77" i="10"/>
  <c r="AN76" i="10"/>
  <c r="AI76" i="10"/>
  <c r="AH76" i="10"/>
  <c r="AN75" i="10"/>
  <c r="AN77" i="10" s="1"/>
  <c r="AI75" i="10"/>
  <c r="AH75" i="10"/>
  <c r="AI74" i="10"/>
  <c r="AH74" i="10"/>
  <c r="AI73" i="10"/>
  <c r="AH73" i="10"/>
  <c r="AI72" i="10"/>
  <c r="AH72" i="10"/>
  <c r="AI71" i="10"/>
  <c r="AH71" i="10"/>
  <c r="AI70" i="10"/>
  <c r="AH70" i="10"/>
  <c r="AI69" i="10"/>
  <c r="AH69" i="10"/>
  <c r="AI68" i="10"/>
  <c r="AH68" i="10"/>
  <c r="AI67" i="10"/>
  <c r="AH67" i="10"/>
  <c r="AG66" i="10"/>
  <c r="AF66" i="10"/>
  <c r="AE66" i="10"/>
  <c r="AD66" i="10"/>
  <c r="AC66" i="10"/>
  <c r="AB66" i="10"/>
  <c r="AA66" i="10"/>
  <c r="Z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AI65" i="10"/>
  <c r="AH65" i="10"/>
  <c r="AI64" i="10"/>
  <c r="AH64" i="10"/>
  <c r="AI63" i="10"/>
  <c r="AH63" i="10"/>
  <c r="AF62" i="10"/>
  <c r="AE62" i="10"/>
  <c r="AD62" i="10"/>
  <c r="AC62" i="10"/>
  <c r="AB62" i="10"/>
  <c r="AA62" i="10"/>
  <c r="Z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I61" i="10"/>
  <c r="AH61" i="10"/>
  <c r="AG61" i="10"/>
  <c r="AG62" i="10" s="1"/>
  <c r="AG3" i="10" s="1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G48" i="10"/>
  <c r="AF48" i="10"/>
  <c r="AE48" i="10"/>
  <c r="AD48" i="10"/>
  <c r="AC48" i="10"/>
  <c r="AB48" i="10"/>
  <c r="AA48" i="10"/>
  <c r="Z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I47" i="10"/>
  <c r="AH47" i="10"/>
  <c r="AI46" i="10"/>
  <c r="AH46" i="10"/>
  <c r="AI45" i="10"/>
  <c r="AH45" i="10"/>
  <c r="AG44" i="10"/>
  <c r="AG83" i="10" s="1"/>
  <c r="AF44" i="10"/>
  <c r="AE44" i="10"/>
  <c r="AD44" i="10"/>
  <c r="AC44" i="10"/>
  <c r="AB44" i="10"/>
  <c r="AA44" i="10"/>
  <c r="Z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F5" i="10"/>
  <c r="AE5" i="10"/>
  <c r="Z5" i="10"/>
  <c r="X5" i="10"/>
  <c r="V5" i="10"/>
  <c r="U5" i="10"/>
  <c r="Q5" i="10"/>
  <c r="P5" i="10"/>
  <c r="M5" i="10"/>
  <c r="AG4" i="10"/>
  <c r="K4" i="10"/>
  <c r="E4" i="10"/>
  <c r="H4" i="10" s="1"/>
  <c r="B4" i="10"/>
  <c r="S239" i="10" s="1"/>
  <c r="AG2" i="10"/>
  <c r="AG6" i="10" s="1"/>
  <c r="T104" i="9"/>
  <c r="R107" i="9"/>
  <c r="P107" i="9"/>
  <c r="O107" i="9"/>
  <c r="N107" i="9"/>
  <c r="AH107" i="9" s="1"/>
  <c r="E78" i="9"/>
  <c r="E94" i="9" s="1"/>
  <c r="D44" i="9"/>
  <c r="D48" i="9"/>
  <c r="D62" i="9"/>
  <c r="D78" i="9"/>
  <c r="C5" i="9" s="1"/>
  <c r="B78" i="9"/>
  <c r="B66" i="9"/>
  <c r="B62" i="9"/>
  <c r="B48" i="9"/>
  <c r="B44" i="9"/>
  <c r="AF267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AF266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AF265" i="9"/>
  <c r="AE265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B263" i="9"/>
  <c r="S23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C228" i="9"/>
  <c r="E227" i="9"/>
  <c r="D263" i="9" s="1"/>
  <c r="D227" i="9"/>
  <c r="C263" i="9" s="1"/>
  <c r="B227" i="9"/>
  <c r="AF263" i="9" s="1"/>
  <c r="D226" i="9"/>
  <c r="E226" i="9" s="1"/>
  <c r="F226" i="9" s="1"/>
  <c r="G226" i="9" s="1"/>
  <c r="H226" i="9" s="1"/>
  <c r="I226" i="9" s="1"/>
  <c r="J226" i="9" s="1"/>
  <c r="K226" i="9" s="1"/>
  <c r="L226" i="9" s="1"/>
  <c r="M226" i="9" s="1"/>
  <c r="N226" i="9" s="1"/>
  <c r="O226" i="9" s="1"/>
  <c r="P226" i="9" s="1"/>
  <c r="B226" i="9"/>
  <c r="E225" i="9"/>
  <c r="F225" i="9" s="1"/>
  <c r="G225" i="9" s="1"/>
  <c r="H225" i="9" s="1"/>
  <c r="I225" i="9" s="1"/>
  <c r="D225" i="9"/>
  <c r="B225" i="9"/>
  <c r="D224" i="9"/>
  <c r="E224" i="9" s="1"/>
  <c r="F224" i="9" s="1"/>
  <c r="G224" i="9" s="1"/>
  <c r="H224" i="9" s="1"/>
  <c r="B224" i="9"/>
  <c r="E223" i="9"/>
  <c r="F223" i="9" s="1"/>
  <c r="G223" i="9" s="1"/>
  <c r="H223" i="9" s="1"/>
  <c r="I223" i="9" s="1"/>
  <c r="J223" i="9" s="1"/>
  <c r="K223" i="9" s="1"/>
  <c r="L223" i="9" s="1"/>
  <c r="M223" i="9" s="1"/>
  <c r="N223" i="9" s="1"/>
  <c r="O223" i="9" s="1"/>
  <c r="P223" i="9" s="1"/>
  <c r="D223" i="9"/>
  <c r="B223" i="9"/>
  <c r="E222" i="9"/>
  <c r="F222" i="9" s="1"/>
  <c r="D222" i="9"/>
  <c r="D228" i="9" s="1"/>
  <c r="B222" i="9"/>
  <c r="B104" i="9" s="1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I113" i="9"/>
  <c r="AI112" i="9"/>
  <c r="AI111" i="9"/>
  <c r="AI110" i="9"/>
  <c r="AI109" i="9"/>
  <c r="AI108" i="9"/>
  <c r="AI106" i="9"/>
  <c r="AI105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S104" i="9"/>
  <c r="R104" i="9"/>
  <c r="Q104" i="9"/>
  <c r="D104" i="9"/>
  <c r="C104" i="9"/>
  <c r="AI103" i="9"/>
  <c r="AI102" i="9"/>
  <c r="AI101" i="9"/>
  <c r="AI100" i="9"/>
  <c r="AI99" i="9"/>
  <c r="AI98" i="9"/>
  <c r="AI97" i="9"/>
  <c r="AI96" i="9"/>
  <c r="AI95" i="9"/>
  <c r="AI93" i="9"/>
  <c r="AI92" i="9"/>
  <c r="AI91" i="9"/>
  <c r="AI90" i="9"/>
  <c r="AI89" i="9"/>
  <c r="AI88" i="9"/>
  <c r="AI87" i="9"/>
  <c r="AI84" i="9"/>
  <c r="AI82" i="9"/>
  <c r="AG82" i="9"/>
  <c r="AI81" i="9"/>
  <c r="AI80" i="9"/>
  <c r="AI79" i="9"/>
  <c r="AN78" i="9"/>
  <c r="AG78" i="9"/>
  <c r="AF78" i="9"/>
  <c r="AF94" i="9" s="1"/>
  <c r="AE78" i="9"/>
  <c r="AE94" i="9" s="1"/>
  <c r="AD78" i="9"/>
  <c r="AD94" i="9" s="1"/>
  <c r="AC78" i="9"/>
  <c r="AC94" i="9" s="1"/>
  <c r="AB78" i="9"/>
  <c r="AB94" i="9" s="1"/>
  <c r="AA78" i="9"/>
  <c r="AA94" i="9" s="1"/>
  <c r="Z78" i="9"/>
  <c r="Z94" i="9" s="1"/>
  <c r="Y78" i="9"/>
  <c r="Y94" i="9" s="1"/>
  <c r="X78" i="9"/>
  <c r="X94" i="9" s="1"/>
  <c r="W78" i="9"/>
  <c r="W94" i="9" s="1"/>
  <c r="V78" i="9"/>
  <c r="V94" i="9" s="1"/>
  <c r="U78" i="9"/>
  <c r="U94" i="9" s="1"/>
  <c r="T78" i="9"/>
  <c r="T94" i="9" s="1"/>
  <c r="S78" i="9"/>
  <c r="S94" i="9" s="1"/>
  <c r="R78" i="9"/>
  <c r="R94" i="9" s="1"/>
  <c r="Q78" i="9"/>
  <c r="Q94" i="9" s="1"/>
  <c r="P78" i="9"/>
  <c r="P94" i="9" s="1"/>
  <c r="O78" i="9"/>
  <c r="O94" i="9" s="1"/>
  <c r="N78" i="9"/>
  <c r="N94" i="9" s="1"/>
  <c r="M78" i="9"/>
  <c r="M94" i="9" s="1"/>
  <c r="L78" i="9"/>
  <c r="L94" i="9" s="1"/>
  <c r="K78" i="9"/>
  <c r="K94" i="9" s="1"/>
  <c r="J78" i="9"/>
  <c r="J94" i="9" s="1"/>
  <c r="I78" i="9"/>
  <c r="I94" i="9" s="1"/>
  <c r="H78" i="9"/>
  <c r="H94" i="9" s="1"/>
  <c r="G78" i="9"/>
  <c r="G94" i="9" s="1"/>
  <c r="F78" i="9"/>
  <c r="F94" i="9" s="1"/>
  <c r="C78" i="9"/>
  <c r="C94" i="9" s="1"/>
  <c r="AI77" i="9"/>
  <c r="AN76" i="9"/>
  <c r="AI76" i="9"/>
  <c r="AN75" i="9"/>
  <c r="AN77" i="9" s="1"/>
  <c r="AI75" i="9"/>
  <c r="AI74" i="9"/>
  <c r="AI73" i="9"/>
  <c r="AI72" i="9"/>
  <c r="AI71" i="9"/>
  <c r="AI70" i="9"/>
  <c r="AI69" i="9"/>
  <c r="AI68" i="9"/>
  <c r="AI67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AI65" i="9"/>
  <c r="AI64" i="9"/>
  <c r="AI63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C62" i="9"/>
  <c r="AI61" i="9"/>
  <c r="AG61" i="9"/>
  <c r="AG62" i="9" s="1"/>
  <c r="AG3" i="9" s="1"/>
  <c r="AI60" i="9"/>
  <c r="AI59" i="9"/>
  <c r="AI58" i="9"/>
  <c r="AI57" i="9"/>
  <c r="AI56" i="9"/>
  <c r="AI55" i="9"/>
  <c r="AI54" i="9"/>
  <c r="AI53" i="9"/>
  <c r="AI52" i="9"/>
  <c r="AI51" i="9"/>
  <c r="AI50" i="9"/>
  <c r="AI49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C48" i="9"/>
  <c r="AI47" i="9"/>
  <c r="AI46" i="9"/>
  <c r="AI45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C44" i="9"/>
  <c r="AI43" i="9"/>
  <c r="AI42" i="9"/>
  <c r="AI41" i="9"/>
  <c r="AI40" i="9"/>
  <c r="AI39" i="9"/>
  <c r="AI38" i="9"/>
  <c r="AI37" i="9"/>
  <c r="AI36" i="9"/>
  <c r="AI35" i="9"/>
  <c r="AI34" i="9"/>
  <c r="AI33" i="9"/>
  <c r="AI32" i="9"/>
  <c r="AI31" i="9"/>
  <c r="AI30" i="9"/>
  <c r="AI29" i="9"/>
  <c r="AI28" i="9"/>
  <c r="AI27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Z5" i="9"/>
  <c r="AG4" i="9"/>
  <c r="K4" i="9"/>
  <c r="E4" i="9"/>
  <c r="H4" i="9" s="1"/>
  <c r="B4" i="9"/>
  <c r="S239" i="9" s="1"/>
  <c r="AG2" i="9"/>
  <c r="AE44" i="8"/>
  <c r="AF44" i="8"/>
  <c r="AH66" i="9" l="1"/>
  <c r="E227" i="10"/>
  <c r="D263" i="10" s="1"/>
  <c r="AG6" i="9"/>
  <c r="B94" i="9"/>
  <c r="AH78" i="9"/>
  <c r="W83" i="10"/>
  <c r="W85" i="10" s="1"/>
  <c r="D104" i="10"/>
  <c r="E223" i="10"/>
  <c r="F223" i="10" s="1"/>
  <c r="G223" i="10" s="1"/>
  <c r="H223" i="10" s="1"/>
  <c r="I223" i="10" s="1"/>
  <c r="J223" i="10" s="1"/>
  <c r="K223" i="10" s="1"/>
  <c r="L223" i="10" s="1"/>
  <c r="M223" i="10" s="1"/>
  <c r="N223" i="10" s="1"/>
  <c r="O223" i="10" s="1"/>
  <c r="P223" i="10" s="1"/>
  <c r="AG83" i="9"/>
  <c r="E104" i="10"/>
  <c r="AC5" i="9"/>
  <c r="E104" i="9"/>
  <c r="B228" i="9"/>
  <c r="AH44" i="9"/>
  <c r="B228" i="10"/>
  <c r="AH62" i="9"/>
  <c r="AH48" i="9"/>
  <c r="AI104" i="12"/>
  <c r="AH104" i="12"/>
  <c r="A7" i="11"/>
  <c r="K6" i="11"/>
  <c r="AH86" i="11"/>
  <c r="AI86" i="11"/>
  <c r="J222" i="11"/>
  <c r="E263" i="11"/>
  <c r="G227" i="11"/>
  <c r="F104" i="11"/>
  <c r="F228" i="11"/>
  <c r="AF83" i="10"/>
  <c r="AF85" i="10" s="1"/>
  <c r="AF7" i="10" s="1"/>
  <c r="AE83" i="10"/>
  <c r="AE85" i="10" s="1"/>
  <c r="AD83" i="10"/>
  <c r="AD85" i="10" s="1"/>
  <c r="AV242" i="10" s="1"/>
  <c r="AC5" i="10"/>
  <c r="AD5" i="10"/>
  <c r="AB5" i="10"/>
  <c r="AC83" i="10"/>
  <c r="AC85" i="10" s="1"/>
  <c r="AA5" i="10"/>
  <c r="AB83" i="10"/>
  <c r="AB85" i="10" s="1"/>
  <c r="AB86" i="10" s="1"/>
  <c r="AA83" i="10"/>
  <c r="AA85" i="10" s="1"/>
  <c r="AA86" i="10" s="1"/>
  <c r="Y5" i="10"/>
  <c r="Z83" i="10"/>
  <c r="Z85" i="10" s="1"/>
  <c r="W5" i="10"/>
  <c r="X83" i="10"/>
  <c r="X85" i="10" s="1"/>
  <c r="V83" i="10"/>
  <c r="V85" i="10" s="1"/>
  <c r="V86" i="10" s="1"/>
  <c r="T5" i="10"/>
  <c r="U83" i="10"/>
  <c r="U85" i="10" s="1"/>
  <c r="U7" i="10" s="1"/>
  <c r="S5" i="10"/>
  <c r="T83" i="10"/>
  <c r="T85" i="10" s="1"/>
  <c r="T86" i="10" s="1"/>
  <c r="R5" i="10"/>
  <c r="S83" i="10"/>
  <c r="S85" i="10" s="1"/>
  <c r="S7" i="10" s="1"/>
  <c r="R83" i="10"/>
  <c r="R85" i="10" s="1"/>
  <c r="R86" i="10" s="1"/>
  <c r="Q83" i="10"/>
  <c r="Q85" i="10" s="1"/>
  <c r="Q86" i="10" s="1"/>
  <c r="O5" i="10"/>
  <c r="P83" i="10"/>
  <c r="P85" i="10" s="1"/>
  <c r="P86" i="10" s="1"/>
  <c r="O83" i="10"/>
  <c r="O85" i="10" s="1"/>
  <c r="AG242" i="10" s="1"/>
  <c r="N5" i="10"/>
  <c r="N83" i="10"/>
  <c r="N85" i="10" s="1"/>
  <c r="AF242" i="10" s="1"/>
  <c r="L5" i="10"/>
  <c r="AI66" i="10"/>
  <c r="M83" i="10"/>
  <c r="M85" i="10" s="1"/>
  <c r="M7" i="10" s="1"/>
  <c r="K5" i="10"/>
  <c r="L83" i="10"/>
  <c r="L85" i="10" s="1"/>
  <c r="AD242" i="10" s="1"/>
  <c r="J5" i="10"/>
  <c r="K83" i="10"/>
  <c r="K85" i="10" s="1"/>
  <c r="AC242" i="10" s="1"/>
  <c r="I5" i="10"/>
  <c r="J83" i="10"/>
  <c r="J85" i="10" s="1"/>
  <c r="J86" i="10" s="1"/>
  <c r="H5" i="10"/>
  <c r="I83" i="10"/>
  <c r="I85" i="10" s="1"/>
  <c r="I86" i="10" s="1"/>
  <c r="G5" i="10"/>
  <c r="H83" i="10"/>
  <c r="H85" i="10" s="1"/>
  <c r="Z242" i="10" s="1"/>
  <c r="G83" i="10"/>
  <c r="G85" i="10" s="1"/>
  <c r="G86" i="10" s="1"/>
  <c r="F5" i="10"/>
  <c r="E5" i="10"/>
  <c r="F83" i="10"/>
  <c r="F85" i="10" s="1"/>
  <c r="F86" i="10" s="1"/>
  <c r="D5" i="10"/>
  <c r="E83" i="10"/>
  <c r="E85" i="10" s="1"/>
  <c r="E7" i="10" s="1"/>
  <c r="AI62" i="10"/>
  <c r="B5" i="10"/>
  <c r="C5" i="10"/>
  <c r="C83" i="10"/>
  <c r="C85" i="10" s="1"/>
  <c r="C86" i="10" s="1"/>
  <c r="B83" i="10"/>
  <c r="B85" i="10" s="1"/>
  <c r="D83" i="10"/>
  <c r="D85" i="10" s="1"/>
  <c r="D86" i="10" s="1"/>
  <c r="AI48" i="10"/>
  <c r="Y7" i="10"/>
  <c r="AQ242" i="10"/>
  <c r="R7" i="10"/>
  <c r="AJ242" i="10"/>
  <c r="Z86" i="10"/>
  <c r="Z7" i="10"/>
  <c r="AR242" i="10"/>
  <c r="G222" i="10"/>
  <c r="S86" i="10"/>
  <c r="AK242" i="10"/>
  <c r="AA7" i="10"/>
  <c r="AS242" i="10"/>
  <c r="J225" i="10"/>
  <c r="K225" i="10" s="1"/>
  <c r="L225" i="10" s="1"/>
  <c r="M225" i="10" s="1"/>
  <c r="N225" i="10" s="1"/>
  <c r="O225" i="10" s="1"/>
  <c r="P225" i="10" s="1"/>
  <c r="M86" i="10"/>
  <c r="AC7" i="10"/>
  <c r="AU242" i="10"/>
  <c r="AC86" i="10"/>
  <c r="AG85" i="10"/>
  <c r="AN242" i="10"/>
  <c r="AD86" i="10"/>
  <c r="AI94" i="10"/>
  <c r="AH94" i="10"/>
  <c r="Y242" i="10"/>
  <c r="O86" i="10"/>
  <c r="AO242" i="10"/>
  <c r="W86" i="10"/>
  <c r="W7" i="10"/>
  <c r="AW242" i="10"/>
  <c r="AE86" i="10"/>
  <c r="AE7" i="10"/>
  <c r="X86" i="10"/>
  <c r="X7" i="10"/>
  <c r="AP242" i="10"/>
  <c r="AH66" i="10"/>
  <c r="E228" i="10"/>
  <c r="D239" i="10"/>
  <c r="AH62" i="10"/>
  <c r="F227" i="10"/>
  <c r="AH78" i="10"/>
  <c r="AI78" i="10"/>
  <c r="AH44" i="10"/>
  <c r="AH48" i="10"/>
  <c r="AI44" i="10"/>
  <c r="AE5" i="9"/>
  <c r="AE83" i="9"/>
  <c r="AE85" i="9" s="1"/>
  <c r="AE7" i="9" s="1"/>
  <c r="AD5" i="9"/>
  <c r="AF83" i="9"/>
  <c r="AF85" i="9" s="1"/>
  <c r="AD83" i="9"/>
  <c r="AD85" i="9" s="1"/>
  <c r="AB5" i="9"/>
  <c r="AC83" i="9"/>
  <c r="AC85" i="9" s="1"/>
  <c r="AA5" i="9"/>
  <c r="AB83" i="9"/>
  <c r="AB85" i="9" s="1"/>
  <c r="AB7" i="9" s="1"/>
  <c r="AA83" i="9"/>
  <c r="AA85" i="9" s="1"/>
  <c r="AA86" i="9" s="1"/>
  <c r="Y5" i="9"/>
  <c r="Z83" i="9"/>
  <c r="Z85" i="9" s="1"/>
  <c r="X5" i="9"/>
  <c r="Y83" i="9"/>
  <c r="Y85" i="9" s="1"/>
  <c r="Y86" i="9" s="1"/>
  <c r="W5" i="9"/>
  <c r="X83" i="9"/>
  <c r="X85" i="9" s="1"/>
  <c r="X7" i="9" s="1"/>
  <c r="V5" i="9"/>
  <c r="W83" i="9"/>
  <c r="W85" i="9" s="1"/>
  <c r="U5" i="9"/>
  <c r="V83" i="9"/>
  <c r="V85" i="9" s="1"/>
  <c r="T5" i="9"/>
  <c r="U83" i="9"/>
  <c r="U85" i="9" s="1"/>
  <c r="U7" i="9" s="1"/>
  <c r="S5" i="9"/>
  <c r="T83" i="9"/>
  <c r="T85" i="9" s="1"/>
  <c r="T86" i="9" s="1"/>
  <c r="R5" i="9"/>
  <c r="S83" i="9"/>
  <c r="S85" i="9" s="1"/>
  <c r="AK242" i="9" s="1"/>
  <c r="Q5" i="9"/>
  <c r="R83" i="9"/>
  <c r="R85" i="9" s="1"/>
  <c r="AI107" i="9"/>
  <c r="P5" i="9"/>
  <c r="Q83" i="9"/>
  <c r="Q85" i="9" s="1"/>
  <c r="O5" i="9"/>
  <c r="P83" i="9"/>
  <c r="P85" i="9" s="1"/>
  <c r="P86" i="9" s="1"/>
  <c r="N5" i="9"/>
  <c r="O83" i="9"/>
  <c r="O85" i="9" s="1"/>
  <c r="M5" i="9"/>
  <c r="N83" i="9"/>
  <c r="N85" i="9" s="1"/>
  <c r="M83" i="9"/>
  <c r="M85" i="9" s="1"/>
  <c r="M86" i="9" s="1"/>
  <c r="L5" i="9"/>
  <c r="AI66" i="9"/>
  <c r="L83" i="9"/>
  <c r="L85" i="9" s="1"/>
  <c r="AD242" i="9" s="1"/>
  <c r="K5" i="9"/>
  <c r="J5" i="9"/>
  <c r="K83" i="9"/>
  <c r="K85" i="9" s="1"/>
  <c r="I5" i="9"/>
  <c r="J83" i="9"/>
  <c r="J85" i="9" s="1"/>
  <c r="J86" i="9" s="1"/>
  <c r="H5" i="9"/>
  <c r="I83" i="9"/>
  <c r="I85" i="9" s="1"/>
  <c r="I86" i="9" s="1"/>
  <c r="G5" i="9"/>
  <c r="H83" i="9"/>
  <c r="H85" i="9" s="1"/>
  <c r="H86" i="9" s="1"/>
  <c r="F5" i="9"/>
  <c r="G83" i="9"/>
  <c r="G85" i="9" s="1"/>
  <c r="AI48" i="9"/>
  <c r="E5" i="9"/>
  <c r="F83" i="9"/>
  <c r="F85" i="9" s="1"/>
  <c r="X242" i="9" s="1"/>
  <c r="E83" i="9"/>
  <c r="E85" i="9" s="1"/>
  <c r="E7" i="9" s="1"/>
  <c r="D5" i="9"/>
  <c r="D94" i="9"/>
  <c r="AI94" i="9" s="1"/>
  <c r="D83" i="9"/>
  <c r="D85" i="9" s="1"/>
  <c r="D86" i="9" s="1"/>
  <c r="B5" i="9"/>
  <c r="AI62" i="9"/>
  <c r="C83" i="9"/>
  <c r="C85" i="9" s="1"/>
  <c r="C86" i="9" s="1"/>
  <c r="B83" i="9"/>
  <c r="AF5" i="9"/>
  <c r="AQ242" i="9"/>
  <c r="R86" i="9"/>
  <c r="R7" i="9"/>
  <c r="AJ242" i="9"/>
  <c r="Z86" i="9"/>
  <c r="Z7" i="9"/>
  <c r="AR242" i="9"/>
  <c r="G222" i="9"/>
  <c r="S86" i="9"/>
  <c r="S7" i="9"/>
  <c r="AS242" i="9"/>
  <c r="J225" i="9"/>
  <c r="K225" i="9" s="1"/>
  <c r="L225" i="9" s="1"/>
  <c r="M225" i="9" s="1"/>
  <c r="N225" i="9" s="1"/>
  <c r="O225" i="9" s="1"/>
  <c r="P225" i="9" s="1"/>
  <c r="L86" i="9"/>
  <c r="L7" i="9"/>
  <c r="AB86" i="9"/>
  <c r="AT242" i="9"/>
  <c r="M7" i="9"/>
  <c r="AE242" i="9"/>
  <c r="AM242" i="9"/>
  <c r="U86" i="9"/>
  <c r="AC7" i="9"/>
  <c r="AU242" i="9"/>
  <c r="AC86" i="9"/>
  <c r="AG85" i="9"/>
  <c r="Q86" i="9"/>
  <c r="Q7" i="9"/>
  <c r="AI242" i="9"/>
  <c r="K86" i="9"/>
  <c r="K7" i="9"/>
  <c r="AC242" i="9"/>
  <c r="F86" i="9"/>
  <c r="F7" i="9"/>
  <c r="AF242" i="9"/>
  <c r="N86" i="9"/>
  <c r="N7" i="9"/>
  <c r="AN242" i="9"/>
  <c r="V86" i="9"/>
  <c r="V7" i="9"/>
  <c r="AV242" i="9"/>
  <c r="AD86" i="9"/>
  <c r="AD7" i="9"/>
  <c r="AG242" i="9"/>
  <c r="O86" i="9"/>
  <c r="O7" i="9"/>
  <c r="AO242" i="9"/>
  <c r="W86" i="9"/>
  <c r="W7" i="9"/>
  <c r="D7" i="9"/>
  <c r="V242" i="9"/>
  <c r="P7" i="9"/>
  <c r="X86" i="9"/>
  <c r="AF86" i="9"/>
  <c r="AF7" i="9"/>
  <c r="AX242" i="9"/>
  <c r="E228" i="9"/>
  <c r="D239" i="9"/>
  <c r="F227" i="9"/>
  <c r="AI78" i="9"/>
  <c r="AI44" i="9"/>
  <c r="AP242" i="9" l="1"/>
  <c r="AH242" i="10"/>
  <c r="P7" i="10"/>
  <c r="AH242" i="9"/>
  <c r="B85" i="9"/>
  <c r="AH83" i="9"/>
  <c r="AH94" i="9"/>
  <c r="AF86" i="10"/>
  <c r="AL242" i="9"/>
  <c r="AA7" i="9"/>
  <c r="AE242" i="10"/>
  <c r="T7" i="9"/>
  <c r="V7" i="10"/>
  <c r="AI242" i="10"/>
  <c r="T7" i="10"/>
  <c r="F263" i="11"/>
  <c r="H227" i="11"/>
  <c r="G104" i="11"/>
  <c r="G228" i="11"/>
  <c r="K222" i="11"/>
  <c r="AX242" i="10"/>
  <c r="AD7" i="10"/>
  <c r="AT242" i="10"/>
  <c r="AB7" i="10"/>
  <c r="U86" i="10"/>
  <c r="AM242" i="10"/>
  <c r="AL242" i="10"/>
  <c r="Q7" i="10"/>
  <c r="O7" i="10"/>
  <c r="N7" i="10"/>
  <c r="N86" i="10"/>
  <c r="L7" i="10"/>
  <c r="L86" i="10"/>
  <c r="H7" i="10"/>
  <c r="H86" i="10"/>
  <c r="E86" i="10"/>
  <c r="AB242" i="10"/>
  <c r="F7" i="10"/>
  <c r="X242" i="10"/>
  <c r="G7" i="10"/>
  <c r="K7" i="10"/>
  <c r="K86" i="10"/>
  <c r="B237" i="10"/>
  <c r="C237" i="10"/>
  <c r="J7" i="10"/>
  <c r="I7" i="10"/>
  <c r="AA242" i="10"/>
  <c r="W242" i="10"/>
  <c r="U242" i="10"/>
  <c r="C7" i="10"/>
  <c r="AE86" i="9"/>
  <c r="AW242" i="9"/>
  <c r="V242" i="10"/>
  <c r="D7" i="10"/>
  <c r="AH83" i="10"/>
  <c r="AI83" i="10"/>
  <c r="E263" i="10"/>
  <c r="G227" i="10"/>
  <c r="B86" i="10"/>
  <c r="AI85" i="10"/>
  <c r="B7" i="10"/>
  <c r="AH85" i="10"/>
  <c r="T242" i="10"/>
  <c r="F228" i="10"/>
  <c r="F104" i="10"/>
  <c r="H222" i="10"/>
  <c r="G104" i="10"/>
  <c r="G228" i="10"/>
  <c r="Y7" i="9"/>
  <c r="AB242" i="9"/>
  <c r="J7" i="9"/>
  <c r="AA242" i="9"/>
  <c r="I7" i="9"/>
  <c r="Z242" i="9"/>
  <c r="H7" i="9"/>
  <c r="C237" i="9"/>
  <c r="G7" i="9"/>
  <c r="Y242" i="9"/>
  <c r="G86" i="9"/>
  <c r="B237" i="9"/>
  <c r="E86" i="9"/>
  <c r="W242" i="9"/>
  <c r="U242" i="9"/>
  <c r="C7" i="9"/>
  <c r="AI83" i="9"/>
  <c r="E263" i="9"/>
  <c r="G227" i="9"/>
  <c r="G104" i="9" s="1"/>
  <c r="B7" i="9"/>
  <c r="T242" i="9"/>
  <c r="F228" i="9"/>
  <c r="F104" i="9"/>
  <c r="H222" i="9"/>
  <c r="G228" i="9"/>
  <c r="B86" i="9" l="1"/>
  <c r="AH86" i="9" s="1"/>
  <c r="AH85" i="9"/>
  <c r="AI85" i="9"/>
  <c r="G263" i="11"/>
  <c r="I227" i="11"/>
  <c r="H104" i="11"/>
  <c r="H228" i="11"/>
  <c r="L222" i="11"/>
  <c r="K6" i="10"/>
  <c r="A7" i="10"/>
  <c r="AI86" i="10"/>
  <c r="AH86" i="10"/>
  <c r="I222" i="10"/>
  <c r="F263" i="10"/>
  <c r="H227" i="10"/>
  <c r="K6" i="9"/>
  <c r="A7" i="9"/>
  <c r="AI86" i="9"/>
  <c r="F263" i="9"/>
  <c r="H227" i="9"/>
  <c r="I222" i="9"/>
  <c r="H104" i="9"/>
  <c r="H228" i="9"/>
  <c r="M222" i="11" l="1"/>
  <c r="H263" i="11"/>
  <c r="J227" i="11"/>
  <c r="I104" i="11"/>
  <c r="G263" i="10"/>
  <c r="I227" i="10"/>
  <c r="H104" i="10"/>
  <c r="I104" i="10"/>
  <c r="J222" i="10"/>
  <c r="H228" i="10"/>
  <c r="J222" i="9"/>
  <c r="G263" i="9"/>
  <c r="I227" i="9"/>
  <c r="C107" i="8"/>
  <c r="B10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B267" i="8"/>
  <c r="A267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A266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265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B264" i="8"/>
  <c r="A264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B263" i="8"/>
  <c r="S238" i="8"/>
  <c r="AG228" i="8"/>
  <c r="AG61" i="8" s="1"/>
  <c r="AG62" i="8" s="1"/>
  <c r="AG3" i="8" s="1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C228" i="8"/>
  <c r="F227" i="8"/>
  <c r="E263" i="8" s="1"/>
  <c r="E227" i="8"/>
  <c r="D263" i="8" s="1"/>
  <c r="D227" i="8"/>
  <c r="C263" i="8" s="1"/>
  <c r="B227" i="8"/>
  <c r="AF263" i="8" s="1"/>
  <c r="E226" i="8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D226" i="8"/>
  <c r="B226" i="8"/>
  <c r="D225" i="8"/>
  <c r="E225" i="8" s="1"/>
  <c r="F225" i="8" s="1"/>
  <c r="G225" i="8" s="1"/>
  <c r="H225" i="8" s="1"/>
  <c r="I225" i="8" s="1"/>
  <c r="B225" i="8"/>
  <c r="E224" i="8"/>
  <c r="F224" i="8" s="1"/>
  <c r="G224" i="8" s="1"/>
  <c r="H224" i="8" s="1"/>
  <c r="D224" i="8"/>
  <c r="B224" i="8"/>
  <c r="E223" i="8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D223" i="8"/>
  <c r="B223" i="8"/>
  <c r="E222" i="8"/>
  <c r="F222" i="8" s="1"/>
  <c r="D222" i="8"/>
  <c r="B222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B220" i="8"/>
  <c r="AI113" i="8"/>
  <c r="AH113" i="8"/>
  <c r="AI112" i="8"/>
  <c r="AH112" i="8"/>
  <c r="AI111" i="8"/>
  <c r="AH111" i="8"/>
  <c r="AI110" i="8"/>
  <c r="AH110" i="8"/>
  <c r="AI109" i="8"/>
  <c r="AH109" i="8"/>
  <c r="AI108" i="8"/>
  <c r="AH108" i="8"/>
  <c r="AI106" i="8"/>
  <c r="AH106" i="8"/>
  <c r="AI105" i="8"/>
  <c r="AH105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C104" i="8"/>
  <c r="AI103" i="8"/>
  <c r="AH103" i="8"/>
  <c r="AI102" i="8"/>
  <c r="AH102" i="8"/>
  <c r="AI101" i="8"/>
  <c r="AH101" i="8"/>
  <c r="AI100" i="8"/>
  <c r="AH100" i="8"/>
  <c r="AI99" i="8"/>
  <c r="AH99" i="8"/>
  <c r="AI98" i="8"/>
  <c r="AH98" i="8"/>
  <c r="AI97" i="8"/>
  <c r="AH97" i="8"/>
  <c r="AI96" i="8"/>
  <c r="AH96" i="8"/>
  <c r="AI95" i="8"/>
  <c r="AH95" i="8"/>
  <c r="X94" i="8"/>
  <c r="AI93" i="8"/>
  <c r="AH93" i="8"/>
  <c r="AI92" i="8"/>
  <c r="AH92" i="8"/>
  <c r="AI91" i="8"/>
  <c r="AH91" i="8"/>
  <c r="AI90" i="8"/>
  <c r="AH90" i="8"/>
  <c r="AI89" i="8"/>
  <c r="AH89" i="8"/>
  <c r="AI88" i="8"/>
  <c r="AH88" i="8"/>
  <c r="AI87" i="8"/>
  <c r="AH87" i="8"/>
  <c r="AI84" i="8"/>
  <c r="AH84" i="8"/>
  <c r="AI82" i="8"/>
  <c r="AH82" i="8"/>
  <c r="AG82" i="8"/>
  <c r="AI81" i="8"/>
  <c r="AH81" i="8"/>
  <c r="AI80" i="8"/>
  <c r="AH80" i="8"/>
  <c r="AI79" i="8"/>
  <c r="AH79" i="8"/>
  <c r="AN78" i="8"/>
  <c r="AG78" i="8"/>
  <c r="AF78" i="8"/>
  <c r="AF94" i="8" s="1"/>
  <c r="AE78" i="8"/>
  <c r="AD5" i="8" s="1"/>
  <c r="AD78" i="8"/>
  <c r="AC5" i="8" s="1"/>
  <c r="AC78" i="8"/>
  <c r="AC94" i="8" s="1"/>
  <c r="AB78" i="8"/>
  <c r="AA5" i="8" s="1"/>
  <c r="AA78" i="8"/>
  <c r="AA94" i="8" s="1"/>
  <c r="Z78" i="8"/>
  <c r="Z94" i="8" s="1"/>
  <c r="Y78" i="8"/>
  <c r="X5" i="8" s="1"/>
  <c r="X78" i="8"/>
  <c r="W5" i="8" s="1"/>
  <c r="W78" i="8"/>
  <c r="V5" i="8" s="1"/>
  <c r="V78" i="8"/>
  <c r="U5" i="8" s="1"/>
  <c r="U78" i="8"/>
  <c r="U94" i="8" s="1"/>
  <c r="T78" i="8"/>
  <c r="S5" i="8" s="1"/>
  <c r="S78" i="8"/>
  <c r="S94" i="8" s="1"/>
  <c r="R78" i="8"/>
  <c r="R94" i="8" s="1"/>
  <c r="Q78" i="8"/>
  <c r="P5" i="8" s="1"/>
  <c r="P78" i="8"/>
  <c r="P94" i="8" s="1"/>
  <c r="O78" i="8"/>
  <c r="O94" i="8" s="1"/>
  <c r="N78" i="8"/>
  <c r="M5" i="8" s="1"/>
  <c r="M78" i="8"/>
  <c r="L5" i="8" s="1"/>
  <c r="L78" i="8"/>
  <c r="K5" i="8" s="1"/>
  <c r="K78" i="8"/>
  <c r="K94" i="8" s="1"/>
  <c r="J78" i="8"/>
  <c r="J94" i="8" s="1"/>
  <c r="I78" i="8"/>
  <c r="H5" i="8" s="1"/>
  <c r="H78" i="8"/>
  <c r="H94" i="8" s="1"/>
  <c r="G78" i="8"/>
  <c r="G94" i="8" s="1"/>
  <c r="F78" i="8"/>
  <c r="E5" i="8" s="1"/>
  <c r="E78" i="8"/>
  <c r="E94" i="8" s="1"/>
  <c r="D78" i="8"/>
  <c r="D94" i="8" s="1"/>
  <c r="C78" i="8"/>
  <c r="C94" i="8" s="1"/>
  <c r="AI77" i="8"/>
  <c r="AH77" i="8"/>
  <c r="AN76" i="8"/>
  <c r="AI76" i="8"/>
  <c r="AH76" i="8"/>
  <c r="AN75" i="8"/>
  <c r="AI75" i="8"/>
  <c r="AH75" i="8"/>
  <c r="AI74" i="8"/>
  <c r="AH74" i="8"/>
  <c r="AI73" i="8"/>
  <c r="AH73" i="8"/>
  <c r="AI72" i="8"/>
  <c r="AH72" i="8"/>
  <c r="AI71" i="8"/>
  <c r="AH71" i="8"/>
  <c r="AI70" i="8"/>
  <c r="AH70" i="8"/>
  <c r="AI69" i="8"/>
  <c r="AH69" i="8"/>
  <c r="AI68" i="8"/>
  <c r="AH68" i="8"/>
  <c r="AI67" i="8"/>
  <c r="AH67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AI65" i="8"/>
  <c r="AH65" i="8"/>
  <c r="AI64" i="8"/>
  <c r="AH64" i="8"/>
  <c r="AI63" i="8"/>
  <c r="AH63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I47" i="8"/>
  <c r="AH47" i="8"/>
  <c r="AI46" i="8"/>
  <c r="AH46" i="8"/>
  <c r="AI45" i="8"/>
  <c r="AH45" i="8"/>
  <c r="AG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I83" i="8" s="1"/>
  <c r="I85" i="8" s="1"/>
  <c r="H44" i="8"/>
  <c r="G44" i="8"/>
  <c r="F44" i="8"/>
  <c r="E44" i="8"/>
  <c r="D44" i="8"/>
  <c r="C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O5" i="8"/>
  <c r="N5" i="8"/>
  <c r="AG4" i="8"/>
  <c r="K4" i="8"/>
  <c r="E4" i="8"/>
  <c r="H4" i="8" s="1"/>
  <c r="B4" i="8"/>
  <c r="S239" i="8" s="1"/>
  <c r="AG2" i="8"/>
  <c r="AF107" i="7"/>
  <c r="AE107" i="7"/>
  <c r="AD107" i="7"/>
  <c r="AC108" i="7"/>
  <c r="AH108" i="7" s="1"/>
  <c r="AB107" i="7"/>
  <c r="Y44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B263" i="7"/>
  <c r="S23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C228" i="7"/>
  <c r="E227" i="7"/>
  <c r="D263" i="7" s="1"/>
  <c r="D227" i="7"/>
  <c r="C263" i="7" s="1"/>
  <c r="B227" i="7"/>
  <c r="AF263" i="7" s="1"/>
  <c r="D226" i="7"/>
  <c r="E226" i="7" s="1"/>
  <c r="F226" i="7" s="1"/>
  <c r="G226" i="7" s="1"/>
  <c r="H226" i="7" s="1"/>
  <c r="I226" i="7" s="1"/>
  <c r="J226" i="7" s="1"/>
  <c r="K226" i="7" s="1"/>
  <c r="L226" i="7" s="1"/>
  <c r="M226" i="7" s="1"/>
  <c r="N226" i="7" s="1"/>
  <c r="O226" i="7" s="1"/>
  <c r="P226" i="7" s="1"/>
  <c r="B226" i="7"/>
  <c r="D225" i="7"/>
  <c r="E225" i="7" s="1"/>
  <c r="F225" i="7" s="1"/>
  <c r="G225" i="7" s="1"/>
  <c r="H225" i="7" s="1"/>
  <c r="I225" i="7" s="1"/>
  <c r="B225" i="7"/>
  <c r="E224" i="7"/>
  <c r="F224" i="7" s="1"/>
  <c r="G224" i="7" s="1"/>
  <c r="H224" i="7" s="1"/>
  <c r="D224" i="7"/>
  <c r="B224" i="7"/>
  <c r="D223" i="7"/>
  <c r="E223" i="7" s="1"/>
  <c r="F223" i="7" s="1"/>
  <c r="G223" i="7" s="1"/>
  <c r="H223" i="7" s="1"/>
  <c r="I223" i="7" s="1"/>
  <c r="J223" i="7" s="1"/>
  <c r="K223" i="7" s="1"/>
  <c r="L223" i="7" s="1"/>
  <c r="M223" i="7" s="1"/>
  <c r="N223" i="7" s="1"/>
  <c r="O223" i="7" s="1"/>
  <c r="P223" i="7" s="1"/>
  <c r="B223" i="7"/>
  <c r="D222" i="7"/>
  <c r="E222" i="7" s="1"/>
  <c r="B222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I113" i="7"/>
  <c r="AH113" i="7"/>
  <c r="AI112" i="7"/>
  <c r="AH112" i="7"/>
  <c r="AI111" i="7"/>
  <c r="AH111" i="7"/>
  <c r="AI110" i="7"/>
  <c r="AH110" i="7"/>
  <c r="AI109" i="7"/>
  <c r="AH109" i="7"/>
  <c r="AI108" i="7"/>
  <c r="AI107" i="7"/>
  <c r="AH107" i="7"/>
  <c r="AI106" i="7"/>
  <c r="AH106" i="7"/>
  <c r="AI105" i="7"/>
  <c r="AH105" i="7"/>
  <c r="AF104" i="7"/>
  <c r="AE104" i="7"/>
  <c r="AD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D104" i="7"/>
  <c r="C104" i="7"/>
  <c r="B104" i="7"/>
  <c r="AI103" i="7"/>
  <c r="AH103" i="7"/>
  <c r="AI102" i="7"/>
  <c r="AH102" i="7"/>
  <c r="AI101" i="7"/>
  <c r="AH101" i="7"/>
  <c r="AI100" i="7"/>
  <c r="AH100" i="7"/>
  <c r="AI99" i="7"/>
  <c r="AH99" i="7"/>
  <c r="AI98" i="7"/>
  <c r="AH98" i="7"/>
  <c r="AI97" i="7"/>
  <c r="AH97" i="7"/>
  <c r="AI96" i="7"/>
  <c r="AH96" i="7"/>
  <c r="AI95" i="7"/>
  <c r="AH95" i="7"/>
  <c r="AI93" i="7"/>
  <c r="AH93" i="7"/>
  <c r="AI92" i="7"/>
  <c r="AH92" i="7"/>
  <c r="AI91" i="7"/>
  <c r="AH91" i="7"/>
  <c r="AI90" i="7"/>
  <c r="AH90" i="7"/>
  <c r="AI89" i="7"/>
  <c r="AH89" i="7"/>
  <c r="AI88" i="7"/>
  <c r="AH88" i="7"/>
  <c r="AI87" i="7"/>
  <c r="AH87" i="7"/>
  <c r="AI84" i="7"/>
  <c r="AH84" i="7"/>
  <c r="AI82" i="7"/>
  <c r="AH82" i="7"/>
  <c r="AG82" i="7"/>
  <c r="AI81" i="7"/>
  <c r="AH81" i="7"/>
  <c r="AI80" i="7"/>
  <c r="AH80" i="7"/>
  <c r="AI79" i="7"/>
  <c r="AH79" i="7"/>
  <c r="AN78" i="7"/>
  <c r="AG78" i="7"/>
  <c r="AF78" i="7"/>
  <c r="AF94" i="7" s="1"/>
  <c r="AE78" i="7"/>
  <c r="AE94" i="7" s="1"/>
  <c r="AD78" i="7"/>
  <c r="AD94" i="7" s="1"/>
  <c r="AC78" i="7"/>
  <c r="AC94" i="7" s="1"/>
  <c r="AB78" i="7"/>
  <c r="AB94" i="7" s="1"/>
  <c r="AA78" i="7"/>
  <c r="AA94" i="7" s="1"/>
  <c r="Z78" i="7"/>
  <c r="Z94" i="7" s="1"/>
  <c r="Y78" i="7"/>
  <c r="Y94" i="7" s="1"/>
  <c r="X78" i="7"/>
  <c r="X94" i="7" s="1"/>
  <c r="W78" i="7"/>
  <c r="W94" i="7" s="1"/>
  <c r="V78" i="7"/>
  <c r="V94" i="7" s="1"/>
  <c r="U78" i="7"/>
  <c r="U94" i="7" s="1"/>
  <c r="T78" i="7"/>
  <c r="T94" i="7" s="1"/>
  <c r="S78" i="7"/>
  <c r="S94" i="7" s="1"/>
  <c r="R78" i="7"/>
  <c r="R94" i="7" s="1"/>
  <c r="Q78" i="7"/>
  <c r="Q94" i="7" s="1"/>
  <c r="P78" i="7"/>
  <c r="P94" i="7" s="1"/>
  <c r="O78" i="7"/>
  <c r="O94" i="7" s="1"/>
  <c r="N78" i="7"/>
  <c r="N94" i="7" s="1"/>
  <c r="M78" i="7"/>
  <c r="M94" i="7" s="1"/>
  <c r="L78" i="7"/>
  <c r="L94" i="7" s="1"/>
  <c r="K78" i="7"/>
  <c r="K94" i="7" s="1"/>
  <c r="J78" i="7"/>
  <c r="J94" i="7" s="1"/>
  <c r="I78" i="7"/>
  <c r="I94" i="7" s="1"/>
  <c r="H78" i="7"/>
  <c r="H94" i="7" s="1"/>
  <c r="G78" i="7"/>
  <c r="G94" i="7" s="1"/>
  <c r="F78" i="7"/>
  <c r="F94" i="7" s="1"/>
  <c r="E78" i="7"/>
  <c r="E94" i="7" s="1"/>
  <c r="D78" i="7"/>
  <c r="D94" i="7" s="1"/>
  <c r="C78" i="7"/>
  <c r="C94" i="7" s="1"/>
  <c r="B78" i="7"/>
  <c r="B94" i="7" s="1"/>
  <c r="AI77" i="7"/>
  <c r="AH77" i="7"/>
  <c r="AN76" i="7"/>
  <c r="AI76" i="7"/>
  <c r="AH76" i="7"/>
  <c r="AN75" i="7"/>
  <c r="AN77" i="7" s="1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AI65" i="7"/>
  <c r="AH65" i="7"/>
  <c r="AI64" i="7"/>
  <c r="AH64" i="7"/>
  <c r="AI63" i="7"/>
  <c r="AH63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I61" i="7"/>
  <c r="AH61" i="7"/>
  <c r="AG61" i="7"/>
  <c r="AG62" i="7" s="1"/>
  <c r="AG3" i="7" s="1"/>
  <c r="AI60" i="7"/>
  <c r="AH60" i="7"/>
  <c r="AI59" i="7"/>
  <c r="AH59" i="7"/>
  <c r="AI58" i="7"/>
  <c r="AH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I47" i="7"/>
  <c r="AH47" i="7"/>
  <c r="AI46" i="7"/>
  <c r="AH46" i="7"/>
  <c r="AI45" i="7"/>
  <c r="AH45" i="7"/>
  <c r="AG44" i="7"/>
  <c r="AF44" i="7"/>
  <c r="AE44" i="7"/>
  <c r="AD44" i="7"/>
  <c r="AC44" i="7"/>
  <c r="AB44" i="7"/>
  <c r="AA44" i="7"/>
  <c r="Z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G4" i="7"/>
  <c r="K4" i="7"/>
  <c r="E4" i="7"/>
  <c r="H4" i="7" s="1"/>
  <c r="B4" i="7"/>
  <c r="S239" i="7" s="1"/>
  <c r="AG2" i="7"/>
  <c r="AE107" i="6"/>
  <c r="AC107" i="6"/>
  <c r="AB107" i="6"/>
  <c r="AA107" i="6"/>
  <c r="Z107" i="6"/>
  <c r="X107" i="6"/>
  <c r="W107" i="6"/>
  <c r="AG83" i="7" l="1"/>
  <c r="AN77" i="8"/>
  <c r="Y94" i="8"/>
  <c r="G227" i="8"/>
  <c r="F263" i="8" s="1"/>
  <c r="AI107" i="8"/>
  <c r="AG6" i="7"/>
  <c r="AG85" i="7"/>
  <c r="B228" i="7"/>
  <c r="B228" i="8"/>
  <c r="D228" i="7"/>
  <c r="D228" i="8"/>
  <c r="I263" i="11"/>
  <c r="K227" i="11"/>
  <c r="J104" i="11"/>
  <c r="N222" i="11"/>
  <c r="K222" i="10"/>
  <c r="H263" i="10"/>
  <c r="J227" i="10"/>
  <c r="H263" i="9"/>
  <c r="J227" i="9"/>
  <c r="J104" i="9"/>
  <c r="K222" i="9"/>
  <c r="I104" i="9"/>
  <c r="AE5" i="8"/>
  <c r="AF83" i="8"/>
  <c r="AF85" i="8" s="1"/>
  <c r="AE94" i="8"/>
  <c r="AE83" i="8"/>
  <c r="AE85" i="8" s="1"/>
  <c r="AD83" i="8"/>
  <c r="AD85" i="8" s="1"/>
  <c r="AV242" i="8" s="1"/>
  <c r="AB5" i="8"/>
  <c r="AC83" i="8"/>
  <c r="AC85" i="8" s="1"/>
  <c r="AU242" i="8" s="1"/>
  <c r="AB94" i="8"/>
  <c r="AB83" i="8"/>
  <c r="AB85" i="8" s="1"/>
  <c r="AT242" i="8" s="1"/>
  <c r="AA83" i="8"/>
  <c r="AA85" i="8" s="1"/>
  <c r="AA7" i="8" s="1"/>
  <c r="Z83" i="8"/>
  <c r="Z85" i="8" s="1"/>
  <c r="Y83" i="8"/>
  <c r="Y85" i="8" s="1"/>
  <c r="X83" i="8"/>
  <c r="X85" i="8" s="1"/>
  <c r="X7" i="8" s="1"/>
  <c r="W94" i="8"/>
  <c r="W83" i="8"/>
  <c r="W85" i="8" s="1"/>
  <c r="AO242" i="8" s="1"/>
  <c r="V83" i="8"/>
  <c r="V85" i="8" s="1"/>
  <c r="T5" i="8"/>
  <c r="U83" i="8"/>
  <c r="U85" i="8" s="1"/>
  <c r="U7" i="8" s="1"/>
  <c r="T94" i="8"/>
  <c r="T83" i="8"/>
  <c r="T85" i="8" s="1"/>
  <c r="S83" i="8"/>
  <c r="S85" i="8" s="1"/>
  <c r="R83" i="8"/>
  <c r="R85" i="8" s="1"/>
  <c r="R86" i="8" s="1"/>
  <c r="Q94" i="8"/>
  <c r="Q83" i="8"/>
  <c r="Q85" i="8" s="1"/>
  <c r="Q86" i="8" s="1"/>
  <c r="P83" i="8"/>
  <c r="P85" i="8" s="1"/>
  <c r="O83" i="8"/>
  <c r="O85" i="8" s="1"/>
  <c r="N83" i="8"/>
  <c r="N85" i="8" s="1"/>
  <c r="AI66" i="8"/>
  <c r="M94" i="8"/>
  <c r="M83" i="8"/>
  <c r="M85" i="8" s="1"/>
  <c r="M86" i="8" s="1"/>
  <c r="G5" i="8"/>
  <c r="H83" i="8"/>
  <c r="H85" i="8" s="1"/>
  <c r="H86" i="8" s="1"/>
  <c r="F5" i="8"/>
  <c r="D5" i="8"/>
  <c r="L94" i="8"/>
  <c r="F83" i="8"/>
  <c r="F85" i="8" s="1"/>
  <c r="X242" i="8" s="1"/>
  <c r="K83" i="8"/>
  <c r="K85" i="8" s="1"/>
  <c r="K86" i="8" s="1"/>
  <c r="L83" i="8"/>
  <c r="L85" i="8" s="1"/>
  <c r="L86" i="8" s="1"/>
  <c r="G83" i="8"/>
  <c r="G85" i="8" s="1"/>
  <c r="Y242" i="8" s="1"/>
  <c r="D83" i="8"/>
  <c r="D85" i="8" s="1"/>
  <c r="AI62" i="8"/>
  <c r="E83" i="8"/>
  <c r="E85" i="8" s="1"/>
  <c r="W242" i="8" s="1"/>
  <c r="I94" i="8"/>
  <c r="C5" i="8"/>
  <c r="AI48" i="8"/>
  <c r="AI44" i="8"/>
  <c r="J83" i="8"/>
  <c r="J85" i="8" s="1"/>
  <c r="AB242" i="8" s="1"/>
  <c r="AH107" i="8"/>
  <c r="AH48" i="8"/>
  <c r="AH44" i="8"/>
  <c r="J225" i="8"/>
  <c r="K225" i="8" s="1"/>
  <c r="L225" i="8" s="1"/>
  <c r="M225" i="8" s="1"/>
  <c r="N225" i="8" s="1"/>
  <c r="O225" i="8" s="1"/>
  <c r="P225" i="8" s="1"/>
  <c r="AD86" i="8"/>
  <c r="AD7" i="8"/>
  <c r="P86" i="8"/>
  <c r="P7" i="8"/>
  <c r="AH242" i="8"/>
  <c r="AF86" i="8"/>
  <c r="AF7" i="8"/>
  <c r="AX242" i="8"/>
  <c r="AE242" i="8"/>
  <c r="AC7" i="8"/>
  <c r="F7" i="8"/>
  <c r="AW242" i="8"/>
  <c r="AE86" i="8"/>
  <c r="AE7" i="8"/>
  <c r="I86" i="8"/>
  <c r="I7" i="8"/>
  <c r="AA242" i="8"/>
  <c r="AI242" i="8"/>
  <c r="Y86" i="8"/>
  <c r="Y7" i="8"/>
  <c r="AQ242" i="8"/>
  <c r="AG83" i="8"/>
  <c r="AJ242" i="8"/>
  <c r="Z86" i="8"/>
  <c r="Z7" i="8"/>
  <c r="AR242" i="8"/>
  <c r="AF242" i="8"/>
  <c r="N86" i="8"/>
  <c r="N7" i="8"/>
  <c r="AG6" i="8"/>
  <c r="S86" i="8"/>
  <c r="S7" i="8"/>
  <c r="AK242" i="8"/>
  <c r="AG242" i="8"/>
  <c r="O86" i="8"/>
  <c r="O7" i="8"/>
  <c r="G222" i="8"/>
  <c r="F104" i="8"/>
  <c r="F228" i="8"/>
  <c r="D86" i="8"/>
  <c r="D7" i="8"/>
  <c r="V242" i="8"/>
  <c r="T86" i="8"/>
  <c r="T7" i="8"/>
  <c r="AL242" i="8"/>
  <c r="AB86" i="8"/>
  <c r="AB7" i="8"/>
  <c r="AG85" i="8"/>
  <c r="AN242" i="8"/>
  <c r="V86" i="8"/>
  <c r="V7" i="8"/>
  <c r="AF5" i="8"/>
  <c r="AH66" i="8"/>
  <c r="C83" i="8"/>
  <c r="C85" i="8" s="1"/>
  <c r="F94" i="8"/>
  <c r="N94" i="8"/>
  <c r="V94" i="8"/>
  <c r="AD94" i="8"/>
  <c r="E228" i="8"/>
  <c r="D239" i="8"/>
  <c r="I5" i="8"/>
  <c r="Q5" i="8"/>
  <c r="Y5" i="8"/>
  <c r="D104" i="8"/>
  <c r="B5" i="8"/>
  <c r="J5" i="8"/>
  <c r="R5" i="8"/>
  <c r="Z5" i="8"/>
  <c r="AH62" i="8"/>
  <c r="E104" i="8"/>
  <c r="AH78" i="8"/>
  <c r="AI78" i="8"/>
  <c r="H227" i="8"/>
  <c r="AE5" i="7"/>
  <c r="AF83" i="7"/>
  <c r="AF85" i="7" s="1"/>
  <c r="AA5" i="7"/>
  <c r="AD5" i="7"/>
  <c r="AE83" i="7"/>
  <c r="AE85" i="7" s="1"/>
  <c r="AC5" i="7"/>
  <c r="AD83" i="7"/>
  <c r="AD85" i="7" s="1"/>
  <c r="AD86" i="7" s="1"/>
  <c r="AC104" i="7"/>
  <c r="AB5" i="7"/>
  <c r="AC83" i="7"/>
  <c r="AC85" i="7" s="1"/>
  <c r="AC86" i="7" s="1"/>
  <c r="AB83" i="7"/>
  <c r="AB85" i="7" s="1"/>
  <c r="Z5" i="7"/>
  <c r="AA83" i="7"/>
  <c r="AA85" i="7" s="1"/>
  <c r="Y5" i="7"/>
  <c r="Z83" i="7"/>
  <c r="Z85" i="7" s="1"/>
  <c r="X5" i="7"/>
  <c r="Y83" i="7"/>
  <c r="Y85" i="7" s="1"/>
  <c r="Y86" i="7" s="1"/>
  <c r="W5" i="7"/>
  <c r="X83" i="7"/>
  <c r="X85" i="7" s="1"/>
  <c r="V5" i="7"/>
  <c r="W83" i="7"/>
  <c r="W85" i="7" s="1"/>
  <c r="U5" i="7"/>
  <c r="V83" i="7"/>
  <c r="V85" i="7" s="1"/>
  <c r="T5" i="7"/>
  <c r="U83" i="7"/>
  <c r="U85" i="7" s="1"/>
  <c r="S5" i="7"/>
  <c r="T83" i="7"/>
  <c r="T85" i="7" s="1"/>
  <c r="T7" i="7" s="1"/>
  <c r="R5" i="7"/>
  <c r="S83" i="7"/>
  <c r="S85" i="7" s="1"/>
  <c r="S86" i="7" s="1"/>
  <c r="Q5" i="7"/>
  <c r="R83" i="7"/>
  <c r="R85" i="7" s="1"/>
  <c r="R86" i="7" s="1"/>
  <c r="P5" i="7"/>
  <c r="Q83" i="7"/>
  <c r="Q85" i="7" s="1"/>
  <c r="AI242" i="7" s="1"/>
  <c r="O5" i="7"/>
  <c r="P83" i="7"/>
  <c r="P85" i="7" s="1"/>
  <c r="N5" i="7"/>
  <c r="O83" i="7"/>
  <c r="O85" i="7" s="1"/>
  <c r="AG242" i="7" s="1"/>
  <c r="M5" i="7"/>
  <c r="AI66" i="7"/>
  <c r="N83" i="7"/>
  <c r="N85" i="7" s="1"/>
  <c r="AF242" i="7" s="1"/>
  <c r="L5" i="7"/>
  <c r="M83" i="7"/>
  <c r="M85" i="7" s="1"/>
  <c r="M86" i="7" s="1"/>
  <c r="K5" i="7"/>
  <c r="L83" i="7"/>
  <c r="L85" i="7" s="1"/>
  <c r="L7" i="7" s="1"/>
  <c r="J83" i="7"/>
  <c r="J85" i="7" s="1"/>
  <c r="H5" i="7"/>
  <c r="H83" i="7"/>
  <c r="H85" i="7" s="1"/>
  <c r="H7" i="7" s="1"/>
  <c r="F5" i="7"/>
  <c r="G5" i="7"/>
  <c r="I83" i="7"/>
  <c r="I85" i="7" s="1"/>
  <c r="AA242" i="7" s="1"/>
  <c r="G83" i="7"/>
  <c r="G85" i="7" s="1"/>
  <c r="Y242" i="7" s="1"/>
  <c r="F83" i="7"/>
  <c r="F85" i="7" s="1"/>
  <c r="J5" i="7"/>
  <c r="K83" i="7"/>
  <c r="K85" i="7" s="1"/>
  <c r="AC242" i="7" s="1"/>
  <c r="E5" i="7"/>
  <c r="I5" i="7"/>
  <c r="D5" i="7"/>
  <c r="E83" i="7"/>
  <c r="E85" i="7" s="1"/>
  <c r="E86" i="7" s="1"/>
  <c r="C5" i="7"/>
  <c r="B5" i="7"/>
  <c r="C83" i="7"/>
  <c r="C85" i="7" s="1"/>
  <c r="U242" i="7" s="1"/>
  <c r="AI62" i="7"/>
  <c r="D83" i="7"/>
  <c r="D85" i="7" s="1"/>
  <c r="D86" i="7" s="1"/>
  <c r="AI48" i="7"/>
  <c r="B83" i="7"/>
  <c r="B85" i="7" s="1"/>
  <c r="AF5" i="7"/>
  <c r="T86" i="7"/>
  <c r="AL242" i="7"/>
  <c r="U7" i="7"/>
  <c r="AM242" i="7"/>
  <c r="U86" i="7"/>
  <c r="AC7" i="7"/>
  <c r="AU242" i="7"/>
  <c r="AN242" i="7"/>
  <c r="V86" i="7"/>
  <c r="V7" i="7"/>
  <c r="AI94" i="7"/>
  <c r="AH94" i="7"/>
  <c r="AW242" i="7"/>
  <c r="AE86" i="7"/>
  <c r="AE7" i="7"/>
  <c r="L86" i="7"/>
  <c r="AD242" i="7"/>
  <c r="P86" i="7"/>
  <c r="P7" i="7"/>
  <c r="AH242" i="7"/>
  <c r="X86" i="7"/>
  <c r="X7" i="7"/>
  <c r="AP242" i="7"/>
  <c r="AF86" i="7"/>
  <c r="AF7" i="7"/>
  <c r="AX242" i="7"/>
  <c r="F222" i="7"/>
  <c r="E104" i="7"/>
  <c r="E228" i="7"/>
  <c r="AB86" i="7"/>
  <c r="AB7" i="7"/>
  <c r="AT242" i="7"/>
  <c r="X242" i="7"/>
  <c r="F86" i="7"/>
  <c r="F7" i="7"/>
  <c r="Q86" i="7"/>
  <c r="Y7" i="7"/>
  <c r="AQ242" i="7"/>
  <c r="J225" i="7"/>
  <c r="K225" i="7" s="1"/>
  <c r="L225" i="7" s="1"/>
  <c r="M225" i="7" s="1"/>
  <c r="N225" i="7" s="1"/>
  <c r="O225" i="7" s="1"/>
  <c r="P225" i="7" s="1"/>
  <c r="J86" i="7"/>
  <c r="J7" i="7"/>
  <c r="AB242" i="7"/>
  <c r="Z86" i="7"/>
  <c r="Z7" i="7"/>
  <c r="AR242" i="7"/>
  <c r="AO242" i="7"/>
  <c r="W86" i="7"/>
  <c r="W7" i="7"/>
  <c r="S7" i="7"/>
  <c r="AK242" i="7"/>
  <c r="AA86" i="7"/>
  <c r="AA7" i="7"/>
  <c r="AS242" i="7"/>
  <c r="AH66" i="7"/>
  <c r="D239" i="7"/>
  <c r="AH62" i="7"/>
  <c r="F227" i="7"/>
  <c r="AH78" i="7"/>
  <c r="AI78" i="7"/>
  <c r="AH44" i="7"/>
  <c r="AH48" i="7"/>
  <c r="AI44" i="7"/>
  <c r="U107" i="6"/>
  <c r="H107" i="6"/>
  <c r="G107" i="6"/>
  <c r="F107" i="6"/>
  <c r="Q7" i="7" l="1"/>
  <c r="AV242" i="7"/>
  <c r="AC86" i="8"/>
  <c r="N7" i="7"/>
  <c r="H86" i="7"/>
  <c r="R7" i="8"/>
  <c r="Q7" i="8"/>
  <c r="Z242" i="7"/>
  <c r="AJ242" i="7"/>
  <c r="N86" i="7"/>
  <c r="R7" i="7"/>
  <c r="O86" i="7"/>
  <c r="AD7" i="7"/>
  <c r="F86" i="8"/>
  <c r="X86" i="8"/>
  <c r="O222" i="11"/>
  <c r="L227" i="11"/>
  <c r="J263" i="11"/>
  <c r="K104" i="11"/>
  <c r="K227" i="10"/>
  <c r="I263" i="10"/>
  <c r="L222" i="10"/>
  <c r="K104" i="10"/>
  <c r="J104" i="10"/>
  <c r="L222" i="9"/>
  <c r="K227" i="9"/>
  <c r="K104" i="9" s="1"/>
  <c r="I263" i="9"/>
  <c r="AS242" i="8"/>
  <c r="AA86" i="8"/>
  <c r="AP242" i="8"/>
  <c r="W7" i="8"/>
  <c r="W86" i="8"/>
  <c r="U86" i="8"/>
  <c r="AM242" i="8"/>
  <c r="M7" i="8"/>
  <c r="AD242" i="8"/>
  <c r="L7" i="8"/>
  <c r="AC242" i="8"/>
  <c r="K7" i="8"/>
  <c r="AI94" i="8"/>
  <c r="Z242" i="8"/>
  <c r="H7" i="8"/>
  <c r="G7" i="8"/>
  <c r="G86" i="8"/>
  <c r="C237" i="8"/>
  <c r="E7" i="8"/>
  <c r="E86" i="8"/>
  <c r="J7" i="8"/>
  <c r="J86" i="8"/>
  <c r="B237" i="8"/>
  <c r="AI83" i="8"/>
  <c r="AI85" i="8"/>
  <c r="B7" i="8"/>
  <c r="AH85" i="8"/>
  <c r="T242" i="8"/>
  <c r="AH83" i="8"/>
  <c r="G263" i="8"/>
  <c r="I227" i="8"/>
  <c r="C86" i="8"/>
  <c r="C7" i="8"/>
  <c r="U242" i="8"/>
  <c r="H222" i="8"/>
  <c r="G104" i="8"/>
  <c r="G228" i="8"/>
  <c r="AH94" i="8"/>
  <c r="W242" i="7"/>
  <c r="E7" i="7"/>
  <c r="O7" i="7"/>
  <c r="AE242" i="7"/>
  <c r="M7" i="7"/>
  <c r="I7" i="7"/>
  <c r="I86" i="7"/>
  <c r="K7" i="7"/>
  <c r="G86" i="7"/>
  <c r="G7" i="7"/>
  <c r="B237" i="7"/>
  <c r="C237" i="7"/>
  <c r="K86" i="7"/>
  <c r="D7" i="7"/>
  <c r="C7" i="7"/>
  <c r="AI83" i="7"/>
  <c r="C86" i="7"/>
  <c r="V242" i="7"/>
  <c r="AH83" i="7"/>
  <c r="G222" i="7"/>
  <c r="F104" i="7"/>
  <c r="F228" i="7"/>
  <c r="E263" i="7"/>
  <c r="G227" i="7"/>
  <c r="B86" i="7"/>
  <c r="AI85" i="7"/>
  <c r="B7" i="7"/>
  <c r="AH85" i="7"/>
  <c r="T242" i="7"/>
  <c r="E107" i="6"/>
  <c r="AI107" i="6" s="1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A267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D266" i="6"/>
  <c r="C266" i="6"/>
  <c r="B266" i="6"/>
  <c r="A266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D265" i="6"/>
  <c r="C265" i="6"/>
  <c r="B265" i="6"/>
  <c r="A265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D264" i="6"/>
  <c r="C264" i="6"/>
  <c r="B264" i="6"/>
  <c r="A264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C263" i="6"/>
  <c r="B263" i="6"/>
  <c r="S238" i="6"/>
  <c r="AG228" i="6"/>
  <c r="AG61" i="6" s="1"/>
  <c r="AG62" i="6" s="1"/>
  <c r="AG3" i="6" s="1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C228" i="6"/>
  <c r="E227" i="6"/>
  <c r="D263" i="6" s="1"/>
  <c r="D227" i="6"/>
  <c r="B227" i="6"/>
  <c r="AF263" i="6" s="1"/>
  <c r="E226" i="6"/>
  <c r="F226" i="6" s="1"/>
  <c r="G226" i="6" s="1"/>
  <c r="H226" i="6" s="1"/>
  <c r="I226" i="6" s="1"/>
  <c r="J226" i="6" s="1"/>
  <c r="K226" i="6" s="1"/>
  <c r="L226" i="6" s="1"/>
  <c r="M226" i="6" s="1"/>
  <c r="N226" i="6" s="1"/>
  <c r="O226" i="6" s="1"/>
  <c r="P226" i="6" s="1"/>
  <c r="D226" i="6"/>
  <c r="B226" i="6"/>
  <c r="D225" i="6"/>
  <c r="E225" i="6" s="1"/>
  <c r="F225" i="6" s="1"/>
  <c r="G225" i="6" s="1"/>
  <c r="H225" i="6" s="1"/>
  <c r="I225" i="6" s="1"/>
  <c r="B225" i="6"/>
  <c r="E224" i="6"/>
  <c r="F224" i="6" s="1"/>
  <c r="G224" i="6" s="1"/>
  <c r="H224" i="6" s="1"/>
  <c r="D224" i="6"/>
  <c r="B224" i="6"/>
  <c r="E223" i="6"/>
  <c r="F223" i="6" s="1"/>
  <c r="G223" i="6" s="1"/>
  <c r="H223" i="6" s="1"/>
  <c r="I223" i="6" s="1"/>
  <c r="J223" i="6" s="1"/>
  <c r="K223" i="6" s="1"/>
  <c r="L223" i="6" s="1"/>
  <c r="M223" i="6" s="1"/>
  <c r="N223" i="6" s="1"/>
  <c r="O223" i="6" s="1"/>
  <c r="P223" i="6" s="1"/>
  <c r="D223" i="6"/>
  <c r="B223" i="6"/>
  <c r="D222" i="6"/>
  <c r="B222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B220" i="6"/>
  <c r="AI113" i="6"/>
  <c r="AH113" i="6"/>
  <c r="AI112" i="6"/>
  <c r="AH112" i="6"/>
  <c r="AI111" i="6"/>
  <c r="AH111" i="6"/>
  <c r="AI110" i="6"/>
  <c r="AH110" i="6"/>
  <c r="AI109" i="6"/>
  <c r="AH109" i="6"/>
  <c r="AI108" i="6"/>
  <c r="AH108" i="6"/>
  <c r="AI106" i="6"/>
  <c r="AH106" i="6"/>
  <c r="AI105" i="6"/>
  <c r="AH105" i="6"/>
  <c r="AF104" i="6"/>
  <c r="AE104" i="6"/>
  <c r="AD104" i="6"/>
  <c r="AC104" i="6"/>
  <c r="AB104" i="6"/>
  <c r="AA104" i="6"/>
  <c r="Z104" i="6"/>
  <c r="X104" i="6"/>
  <c r="W104" i="6"/>
  <c r="V104" i="6"/>
  <c r="U104" i="6"/>
  <c r="T104" i="6"/>
  <c r="S104" i="6"/>
  <c r="R104" i="6"/>
  <c r="Q104" i="6"/>
  <c r="C104" i="6"/>
  <c r="AI103" i="6"/>
  <c r="AH103" i="6"/>
  <c r="AI102" i="6"/>
  <c r="AH102" i="6"/>
  <c r="AI101" i="6"/>
  <c r="AH101" i="6"/>
  <c r="AI100" i="6"/>
  <c r="AH100" i="6"/>
  <c r="AI99" i="6"/>
  <c r="AH99" i="6"/>
  <c r="AI98" i="6"/>
  <c r="AH98" i="6"/>
  <c r="AI97" i="6"/>
  <c r="AH97" i="6"/>
  <c r="AI96" i="6"/>
  <c r="AH96" i="6"/>
  <c r="AI95" i="6"/>
  <c r="AH95" i="6"/>
  <c r="AI93" i="6"/>
  <c r="AH93" i="6"/>
  <c r="AI92" i="6"/>
  <c r="AH92" i="6"/>
  <c r="AI91" i="6"/>
  <c r="AH91" i="6"/>
  <c r="AI90" i="6"/>
  <c r="AH90" i="6"/>
  <c r="AI89" i="6"/>
  <c r="AH89" i="6"/>
  <c r="AI88" i="6"/>
  <c r="AH88" i="6"/>
  <c r="AI87" i="6"/>
  <c r="AH87" i="6"/>
  <c r="AI84" i="6"/>
  <c r="AH84" i="6"/>
  <c r="AI82" i="6"/>
  <c r="AH82" i="6"/>
  <c r="AG82" i="6"/>
  <c r="AI81" i="6"/>
  <c r="AH81" i="6"/>
  <c r="AI80" i="6"/>
  <c r="AH80" i="6"/>
  <c r="AI79" i="6"/>
  <c r="AH79" i="6"/>
  <c r="AN78" i="6"/>
  <c r="AG78" i="6"/>
  <c r="AF78" i="6"/>
  <c r="AF94" i="6" s="1"/>
  <c r="AE78" i="6"/>
  <c r="AD5" i="6" s="1"/>
  <c r="AD78" i="6"/>
  <c r="AD94" i="6" s="1"/>
  <c r="AC78" i="6"/>
  <c r="AC94" i="6" s="1"/>
  <c r="AB78" i="6"/>
  <c r="AB94" i="6" s="1"/>
  <c r="AA78" i="6"/>
  <c r="Z5" i="6" s="1"/>
  <c r="Z78" i="6"/>
  <c r="Y5" i="6" s="1"/>
  <c r="X5" i="6"/>
  <c r="X78" i="6"/>
  <c r="W5" i="6" s="1"/>
  <c r="W78" i="6"/>
  <c r="V5" i="6" s="1"/>
  <c r="V78" i="6"/>
  <c r="V94" i="6" s="1"/>
  <c r="U78" i="6"/>
  <c r="U94" i="6" s="1"/>
  <c r="T78" i="6"/>
  <c r="T94" i="6" s="1"/>
  <c r="S78" i="6"/>
  <c r="S94" i="6" s="1"/>
  <c r="R78" i="6"/>
  <c r="Q5" i="6" s="1"/>
  <c r="Q78" i="6"/>
  <c r="P5" i="6" s="1"/>
  <c r="P78" i="6"/>
  <c r="O5" i="6" s="1"/>
  <c r="O78" i="6"/>
  <c r="N5" i="6" s="1"/>
  <c r="N78" i="6"/>
  <c r="N94" i="6" s="1"/>
  <c r="M78" i="6"/>
  <c r="L5" i="6" s="1"/>
  <c r="L78" i="6"/>
  <c r="L94" i="6" s="1"/>
  <c r="K78" i="6"/>
  <c r="J5" i="6" s="1"/>
  <c r="J78" i="6"/>
  <c r="I5" i="6" s="1"/>
  <c r="I78" i="6"/>
  <c r="H5" i="6" s="1"/>
  <c r="H78" i="6"/>
  <c r="H94" i="6" s="1"/>
  <c r="G78" i="6"/>
  <c r="F5" i="6" s="1"/>
  <c r="F78" i="6"/>
  <c r="F94" i="6" s="1"/>
  <c r="E78" i="6"/>
  <c r="E94" i="6" s="1"/>
  <c r="D78" i="6"/>
  <c r="D94" i="6" s="1"/>
  <c r="C78" i="6"/>
  <c r="B78" i="6"/>
  <c r="AI77" i="6"/>
  <c r="AH77" i="6"/>
  <c r="AN76" i="6"/>
  <c r="AI76" i="6"/>
  <c r="AH76" i="6"/>
  <c r="AN75" i="6"/>
  <c r="AN77" i="6" s="1"/>
  <c r="AI75" i="6"/>
  <c r="AH75" i="6"/>
  <c r="AI74" i="6"/>
  <c r="AH74" i="6"/>
  <c r="AI73" i="6"/>
  <c r="AH73" i="6"/>
  <c r="AI72" i="6"/>
  <c r="AH72" i="6"/>
  <c r="AI71" i="6"/>
  <c r="AH71" i="6"/>
  <c r="AI70" i="6"/>
  <c r="AH70" i="6"/>
  <c r="AI69" i="6"/>
  <c r="AH69" i="6"/>
  <c r="AI68" i="6"/>
  <c r="AH68" i="6"/>
  <c r="AI67" i="6"/>
  <c r="AH67" i="6"/>
  <c r="AG66" i="6"/>
  <c r="AF66" i="6"/>
  <c r="AE66" i="6"/>
  <c r="AD66" i="6"/>
  <c r="AC66" i="6"/>
  <c r="AB66" i="6"/>
  <c r="AA66" i="6"/>
  <c r="Z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AI65" i="6"/>
  <c r="AH65" i="6"/>
  <c r="AI64" i="6"/>
  <c r="AH64" i="6"/>
  <c r="AI63" i="6"/>
  <c r="AH63" i="6"/>
  <c r="AF62" i="6"/>
  <c r="AE62" i="6"/>
  <c r="AD62" i="6"/>
  <c r="AC62" i="6"/>
  <c r="AB62" i="6"/>
  <c r="AA62" i="6"/>
  <c r="Z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G48" i="6"/>
  <c r="AF48" i="6"/>
  <c r="AE48" i="6"/>
  <c r="AD48" i="6"/>
  <c r="AC48" i="6"/>
  <c r="AB48" i="6"/>
  <c r="AA48" i="6"/>
  <c r="Z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I47" i="6"/>
  <c r="AH47" i="6"/>
  <c r="AI46" i="6"/>
  <c r="AH46" i="6"/>
  <c r="AI45" i="6"/>
  <c r="AH45" i="6"/>
  <c r="AG44" i="6"/>
  <c r="AG83" i="6" s="1"/>
  <c r="AF44" i="6"/>
  <c r="AE44" i="6"/>
  <c r="AD44" i="6"/>
  <c r="AC44" i="6"/>
  <c r="AB44" i="6"/>
  <c r="AA44" i="6"/>
  <c r="Z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S5" i="6"/>
  <c r="G5" i="6"/>
  <c r="AG4" i="6"/>
  <c r="K4" i="6"/>
  <c r="E4" i="6"/>
  <c r="H4" i="6" s="1"/>
  <c r="B4" i="6"/>
  <c r="S239" i="6" s="1"/>
  <c r="S107" i="5"/>
  <c r="N107" i="5"/>
  <c r="AG85" i="6" l="1"/>
  <c r="B104" i="6"/>
  <c r="D228" i="6"/>
  <c r="F227" i="6"/>
  <c r="AH107" i="6"/>
  <c r="E222" i="6"/>
  <c r="B228" i="6"/>
  <c r="M94" i="6"/>
  <c r="K263" i="11"/>
  <c r="M227" i="11"/>
  <c r="L104" i="11"/>
  <c r="P222" i="11"/>
  <c r="M222" i="10"/>
  <c r="J263" i="10"/>
  <c r="L227" i="10"/>
  <c r="L104" i="10" s="1"/>
  <c r="J263" i="9"/>
  <c r="L227" i="9"/>
  <c r="M222" i="9"/>
  <c r="L104" i="9"/>
  <c r="K6" i="8"/>
  <c r="I222" i="8"/>
  <c r="H104" i="8"/>
  <c r="H228" i="8"/>
  <c r="A7" i="8"/>
  <c r="H263" i="8"/>
  <c r="J227" i="8"/>
  <c r="AI86" i="8"/>
  <c r="AH86" i="8"/>
  <c r="A7" i="7"/>
  <c r="K6" i="7"/>
  <c r="AI86" i="7"/>
  <c r="AH86" i="7"/>
  <c r="F263" i="7"/>
  <c r="H227" i="7"/>
  <c r="H222" i="7"/>
  <c r="G104" i="7"/>
  <c r="G228" i="7"/>
  <c r="AE5" i="6"/>
  <c r="AF83" i="6"/>
  <c r="AF85" i="6" s="1"/>
  <c r="AF86" i="6" s="1"/>
  <c r="AE94" i="6"/>
  <c r="AE83" i="6"/>
  <c r="AE85" i="6" s="1"/>
  <c r="AC5" i="6"/>
  <c r="AD83" i="6"/>
  <c r="AD85" i="6" s="1"/>
  <c r="AD86" i="6" s="1"/>
  <c r="AB5" i="6"/>
  <c r="AC83" i="6"/>
  <c r="AC85" i="6" s="1"/>
  <c r="AC86" i="6" s="1"/>
  <c r="AA5" i="6"/>
  <c r="AB83" i="6"/>
  <c r="AB85" i="6" s="1"/>
  <c r="AB86" i="6" s="1"/>
  <c r="Z94" i="6"/>
  <c r="Z83" i="6"/>
  <c r="Z85" i="6" s="1"/>
  <c r="Z86" i="6" s="1"/>
  <c r="AA83" i="6"/>
  <c r="AA85" i="6" s="1"/>
  <c r="AA86" i="6" s="1"/>
  <c r="X94" i="6"/>
  <c r="X83" i="6"/>
  <c r="X85" i="6" s="1"/>
  <c r="X7" i="6" s="1"/>
  <c r="W94" i="6"/>
  <c r="W83" i="6"/>
  <c r="W85" i="6" s="1"/>
  <c r="AO242" i="6" s="1"/>
  <c r="U5" i="6"/>
  <c r="V83" i="6"/>
  <c r="V85" i="6" s="1"/>
  <c r="AN242" i="6" s="1"/>
  <c r="T5" i="6"/>
  <c r="T83" i="6"/>
  <c r="T85" i="6" s="1"/>
  <c r="U83" i="6"/>
  <c r="U85" i="6" s="1"/>
  <c r="U7" i="6" s="1"/>
  <c r="S83" i="6"/>
  <c r="S85" i="6" s="1"/>
  <c r="S86" i="6" s="1"/>
  <c r="R94" i="6"/>
  <c r="R83" i="6"/>
  <c r="R85" i="6" s="1"/>
  <c r="AJ242" i="6" s="1"/>
  <c r="Q94" i="6"/>
  <c r="Q83" i="6"/>
  <c r="Q85" i="6" s="1"/>
  <c r="Q7" i="6" s="1"/>
  <c r="P83" i="6"/>
  <c r="P85" i="6" s="1"/>
  <c r="P7" i="6" s="1"/>
  <c r="P94" i="6"/>
  <c r="O94" i="6"/>
  <c r="O83" i="6"/>
  <c r="O85" i="6" s="1"/>
  <c r="AG242" i="6" s="1"/>
  <c r="M5" i="6"/>
  <c r="AI66" i="6"/>
  <c r="N83" i="6"/>
  <c r="N85" i="6" s="1"/>
  <c r="AF242" i="6" s="1"/>
  <c r="M83" i="6"/>
  <c r="M85" i="6" s="1"/>
  <c r="AE242" i="6" s="1"/>
  <c r="K5" i="6"/>
  <c r="L83" i="6"/>
  <c r="L85" i="6" s="1"/>
  <c r="L86" i="6" s="1"/>
  <c r="K83" i="6"/>
  <c r="K85" i="6" s="1"/>
  <c r="K86" i="6" s="1"/>
  <c r="J94" i="6"/>
  <c r="J83" i="6"/>
  <c r="J85" i="6" s="1"/>
  <c r="J7" i="6" s="1"/>
  <c r="I94" i="6"/>
  <c r="I83" i="6"/>
  <c r="I85" i="6" s="1"/>
  <c r="I7" i="6" s="1"/>
  <c r="H83" i="6"/>
  <c r="H85" i="6" s="1"/>
  <c r="H7" i="6" s="1"/>
  <c r="G83" i="6"/>
  <c r="G85" i="6" s="1"/>
  <c r="Y242" i="6" s="1"/>
  <c r="G94" i="6"/>
  <c r="E5" i="6"/>
  <c r="F83" i="6"/>
  <c r="F85" i="6" s="1"/>
  <c r="F86" i="6" s="1"/>
  <c r="D5" i="6"/>
  <c r="E83" i="6"/>
  <c r="E85" i="6" s="1"/>
  <c r="E7" i="6" s="1"/>
  <c r="C5" i="6"/>
  <c r="D83" i="6"/>
  <c r="D85" i="6" s="1"/>
  <c r="D86" i="6" s="1"/>
  <c r="AH78" i="6"/>
  <c r="AH62" i="6"/>
  <c r="AI48" i="6"/>
  <c r="B83" i="6"/>
  <c r="B94" i="6"/>
  <c r="AI78" i="6"/>
  <c r="AI62" i="6"/>
  <c r="H86" i="6"/>
  <c r="P86" i="6"/>
  <c r="M7" i="6"/>
  <c r="G7" i="6"/>
  <c r="Y7" i="6"/>
  <c r="AQ242" i="6"/>
  <c r="W7" i="6"/>
  <c r="AW242" i="6"/>
  <c r="AE86" i="6"/>
  <c r="AE7" i="6"/>
  <c r="T86" i="6"/>
  <c r="T7" i="6"/>
  <c r="AL242" i="6"/>
  <c r="B85" i="6"/>
  <c r="L7" i="6"/>
  <c r="J225" i="6"/>
  <c r="K225" i="6" s="1"/>
  <c r="L225" i="6" s="1"/>
  <c r="M225" i="6" s="1"/>
  <c r="N225" i="6" s="1"/>
  <c r="O225" i="6" s="1"/>
  <c r="P225" i="6" s="1"/>
  <c r="AH44" i="6"/>
  <c r="AF5" i="6"/>
  <c r="AH66" i="6"/>
  <c r="C83" i="6"/>
  <c r="C85" i="6" s="1"/>
  <c r="E228" i="6"/>
  <c r="D239" i="6"/>
  <c r="K94" i="6"/>
  <c r="D104" i="6"/>
  <c r="AH48" i="6"/>
  <c r="C94" i="6"/>
  <c r="AA94" i="6"/>
  <c r="B5" i="6"/>
  <c r="R5" i="6"/>
  <c r="AG2" i="6"/>
  <c r="AG6" i="6" s="1"/>
  <c r="AI44" i="6"/>
  <c r="F107" i="5"/>
  <c r="W86" i="6" l="1"/>
  <c r="AX242" i="6"/>
  <c r="E104" i="6"/>
  <c r="F222" i="6"/>
  <c r="AF7" i="6"/>
  <c r="X242" i="6"/>
  <c r="E263" i="6"/>
  <c r="G227" i="6"/>
  <c r="AK242" i="6"/>
  <c r="X86" i="6"/>
  <c r="S7" i="6"/>
  <c r="AA242" i="6"/>
  <c r="I86" i="6"/>
  <c r="L263" i="11"/>
  <c r="N227" i="11"/>
  <c r="M104" i="11"/>
  <c r="K263" i="10"/>
  <c r="M227" i="10"/>
  <c r="N222" i="10"/>
  <c r="M104" i="10"/>
  <c r="N222" i="9"/>
  <c r="K263" i="9"/>
  <c r="M227" i="9"/>
  <c r="K227" i="8"/>
  <c r="I263" i="8"/>
  <c r="I104" i="8"/>
  <c r="J222" i="8"/>
  <c r="I222" i="7"/>
  <c r="H104" i="7"/>
  <c r="H228" i="7"/>
  <c r="G263" i="7"/>
  <c r="I227" i="7"/>
  <c r="AD7" i="6"/>
  <c r="AV242" i="6"/>
  <c r="AC7" i="6"/>
  <c r="AU242" i="6"/>
  <c r="AB7" i="6"/>
  <c r="AT242" i="6"/>
  <c r="AA7" i="6"/>
  <c r="AS242" i="6"/>
  <c r="AR242" i="6"/>
  <c r="Z7" i="6"/>
  <c r="AP242" i="6"/>
  <c r="V7" i="6"/>
  <c r="V86" i="6"/>
  <c r="U86" i="6"/>
  <c r="AM242" i="6"/>
  <c r="R7" i="6"/>
  <c r="R86" i="6"/>
  <c r="Q86" i="6"/>
  <c r="AI242" i="6"/>
  <c r="AH242" i="6"/>
  <c r="O7" i="6"/>
  <c r="O86" i="6"/>
  <c r="N7" i="6"/>
  <c r="N86" i="6"/>
  <c r="M86" i="6"/>
  <c r="AD242" i="6"/>
  <c r="K7" i="6"/>
  <c r="AC242" i="6"/>
  <c r="AB242" i="6"/>
  <c r="J86" i="6"/>
  <c r="AH94" i="6"/>
  <c r="B237" i="6"/>
  <c r="Z242" i="6"/>
  <c r="G86" i="6"/>
  <c r="C237" i="6"/>
  <c r="F7" i="6"/>
  <c r="W242" i="6"/>
  <c r="E86" i="6"/>
  <c r="V242" i="6"/>
  <c r="D7" i="6"/>
  <c r="AH83" i="6"/>
  <c r="C86" i="6"/>
  <c r="U242" i="6"/>
  <c r="C7" i="6"/>
  <c r="AI94" i="6"/>
  <c r="AI83" i="6"/>
  <c r="AI85" i="6"/>
  <c r="AH85" i="6"/>
  <c r="T242" i="6"/>
  <c r="B86" i="6"/>
  <c r="B7" i="6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B263" i="5"/>
  <c r="S238" i="5"/>
  <c r="AG228" i="5"/>
  <c r="AG61" i="5" s="1"/>
  <c r="AG62" i="5" s="1"/>
  <c r="AG3" i="5" s="1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C228" i="5"/>
  <c r="D227" i="5"/>
  <c r="E227" i="5" s="1"/>
  <c r="B227" i="5"/>
  <c r="AF263" i="5" s="1"/>
  <c r="E226" i="5"/>
  <c r="F226" i="5" s="1"/>
  <c r="G226" i="5" s="1"/>
  <c r="H226" i="5" s="1"/>
  <c r="I226" i="5" s="1"/>
  <c r="J226" i="5" s="1"/>
  <c r="K226" i="5" s="1"/>
  <c r="L226" i="5" s="1"/>
  <c r="M226" i="5" s="1"/>
  <c r="N226" i="5" s="1"/>
  <c r="O226" i="5" s="1"/>
  <c r="P226" i="5" s="1"/>
  <c r="D226" i="5"/>
  <c r="B226" i="5"/>
  <c r="E225" i="5"/>
  <c r="F225" i="5" s="1"/>
  <c r="G225" i="5" s="1"/>
  <c r="H225" i="5" s="1"/>
  <c r="I225" i="5" s="1"/>
  <c r="D225" i="5"/>
  <c r="B225" i="5"/>
  <c r="E224" i="5"/>
  <c r="F224" i="5" s="1"/>
  <c r="G224" i="5" s="1"/>
  <c r="H224" i="5" s="1"/>
  <c r="D224" i="5"/>
  <c r="B224" i="5"/>
  <c r="E223" i="5"/>
  <c r="F223" i="5" s="1"/>
  <c r="G223" i="5" s="1"/>
  <c r="H223" i="5" s="1"/>
  <c r="I223" i="5" s="1"/>
  <c r="J223" i="5" s="1"/>
  <c r="K223" i="5" s="1"/>
  <c r="L223" i="5" s="1"/>
  <c r="M223" i="5" s="1"/>
  <c r="N223" i="5" s="1"/>
  <c r="O223" i="5" s="1"/>
  <c r="P223" i="5" s="1"/>
  <c r="D223" i="5"/>
  <c r="B223" i="5"/>
  <c r="E222" i="5"/>
  <c r="F222" i="5" s="1"/>
  <c r="D222" i="5"/>
  <c r="B222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I113" i="5"/>
  <c r="AH113" i="5"/>
  <c r="AI112" i="5"/>
  <c r="AH112" i="5"/>
  <c r="AI111" i="5"/>
  <c r="AH111" i="5"/>
  <c r="AI110" i="5"/>
  <c r="AH110" i="5"/>
  <c r="AI109" i="5"/>
  <c r="AH109" i="5"/>
  <c r="AI108" i="5"/>
  <c r="AH108" i="5"/>
  <c r="AI107" i="5"/>
  <c r="AH107" i="5"/>
  <c r="AI106" i="5"/>
  <c r="AH106" i="5"/>
  <c r="AI105" i="5"/>
  <c r="AH105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D104" i="5"/>
  <c r="C104" i="5"/>
  <c r="B104" i="5"/>
  <c r="AI103" i="5"/>
  <c r="AH103" i="5"/>
  <c r="AI102" i="5"/>
  <c r="AH102" i="5"/>
  <c r="AI101" i="5"/>
  <c r="AH101" i="5"/>
  <c r="AI100" i="5"/>
  <c r="AH100" i="5"/>
  <c r="AI99" i="5"/>
  <c r="AH99" i="5"/>
  <c r="AI98" i="5"/>
  <c r="AH98" i="5"/>
  <c r="AI97" i="5"/>
  <c r="AH97" i="5"/>
  <c r="AI96" i="5"/>
  <c r="AH96" i="5"/>
  <c r="AI95" i="5"/>
  <c r="AH95" i="5"/>
  <c r="AI93" i="5"/>
  <c r="AH93" i="5"/>
  <c r="AI92" i="5"/>
  <c r="AH92" i="5"/>
  <c r="AI91" i="5"/>
  <c r="AH91" i="5"/>
  <c r="AI90" i="5"/>
  <c r="AH90" i="5"/>
  <c r="AI89" i="5"/>
  <c r="AH89" i="5"/>
  <c r="AI88" i="5"/>
  <c r="AH88" i="5"/>
  <c r="AI87" i="5"/>
  <c r="AH87" i="5"/>
  <c r="AI84" i="5"/>
  <c r="AH84" i="5"/>
  <c r="AI82" i="5"/>
  <c r="AH82" i="5"/>
  <c r="AG82" i="5"/>
  <c r="AI81" i="5"/>
  <c r="AH81" i="5"/>
  <c r="AI80" i="5"/>
  <c r="AH80" i="5"/>
  <c r="AI79" i="5"/>
  <c r="AH79" i="5"/>
  <c r="AN78" i="5"/>
  <c r="AG78" i="5"/>
  <c r="AF78" i="5"/>
  <c r="AE5" i="5" s="1"/>
  <c r="AE78" i="5"/>
  <c r="AE94" i="5" s="1"/>
  <c r="AD78" i="5"/>
  <c r="AD94" i="5" s="1"/>
  <c r="AC78" i="5"/>
  <c r="AC94" i="5" s="1"/>
  <c r="AB78" i="5"/>
  <c r="AB94" i="5" s="1"/>
  <c r="AA78" i="5"/>
  <c r="Z5" i="5" s="1"/>
  <c r="Z78" i="5"/>
  <c r="Z94" i="5" s="1"/>
  <c r="Y78" i="5"/>
  <c r="Y94" i="5" s="1"/>
  <c r="X78" i="5"/>
  <c r="W5" i="5" s="1"/>
  <c r="W78" i="5"/>
  <c r="W94" i="5" s="1"/>
  <c r="V78" i="5"/>
  <c r="V94" i="5" s="1"/>
  <c r="U78" i="5"/>
  <c r="U94" i="5" s="1"/>
  <c r="T78" i="5"/>
  <c r="T94" i="5" s="1"/>
  <c r="S78" i="5"/>
  <c r="S94" i="5" s="1"/>
  <c r="R78" i="5"/>
  <c r="R94" i="5" s="1"/>
  <c r="Q78" i="5"/>
  <c r="Q94" i="5" s="1"/>
  <c r="P78" i="5"/>
  <c r="O5" i="5" s="1"/>
  <c r="O78" i="5"/>
  <c r="O94" i="5" s="1"/>
  <c r="N78" i="5"/>
  <c r="N94" i="5" s="1"/>
  <c r="M78" i="5"/>
  <c r="M94" i="5" s="1"/>
  <c r="L78" i="5"/>
  <c r="L94" i="5" s="1"/>
  <c r="K78" i="5"/>
  <c r="K94" i="5" s="1"/>
  <c r="J78" i="5"/>
  <c r="J94" i="5" s="1"/>
  <c r="I78" i="5"/>
  <c r="I94" i="5" s="1"/>
  <c r="H78" i="5"/>
  <c r="G5" i="5" s="1"/>
  <c r="G78" i="5"/>
  <c r="G94" i="5" s="1"/>
  <c r="F78" i="5"/>
  <c r="F94" i="5" s="1"/>
  <c r="E78" i="5"/>
  <c r="D5" i="5" s="1"/>
  <c r="D78" i="5"/>
  <c r="D94" i="5" s="1"/>
  <c r="C78" i="5"/>
  <c r="B5" i="5" s="1"/>
  <c r="B78" i="5"/>
  <c r="B94" i="5" s="1"/>
  <c r="AI77" i="5"/>
  <c r="AH77" i="5"/>
  <c r="AN76" i="5"/>
  <c r="AI76" i="5"/>
  <c r="AH76" i="5"/>
  <c r="AN75" i="5"/>
  <c r="AN77" i="5" s="1"/>
  <c r="AI75" i="5"/>
  <c r="AH75" i="5"/>
  <c r="AI74" i="5"/>
  <c r="AH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AI65" i="5"/>
  <c r="AH65" i="5"/>
  <c r="AI64" i="5"/>
  <c r="AH64" i="5"/>
  <c r="AI63" i="5"/>
  <c r="AH63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I47" i="5"/>
  <c r="AH47" i="5"/>
  <c r="AI46" i="5"/>
  <c r="AH46" i="5"/>
  <c r="AI45" i="5"/>
  <c r="AH45" i="5"/>
  <c r="AG44" i="5"/>
  <c r="AG83" i="5" s="1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83" i="5" s="1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G4" i="5"/>
  <c r="K4" i="5"/>
  <c r="E4" i="5"/>
  <c r="H4" i="5" s="1"/>
  <c r="B4" i="5"/>
  <c r="S239" i="5" s="1"/>
  <c r="AG2" i="5"/>
  <c r="F227" i="5" l="1"/>
  <c r="D263" i="5"/>
  <c r="B228" i="5"/>
  <c r="F263" i="6"/>
  <c r="H227" i="6"/>
  <c r="F104" i="6"/>
  <c r="F228" i="6"/>
  <c r="G222" i="6"/>
  <c r="C263" i="5"/>
  <c r="D228" i="5"/>
  <c r="M263" i="11"/>
  <c r="O227" i="11"/>
  <c r="N104" i="11"/>
  <c r="O222" i="10"/>
  <c r="L263" i="10"/>
  <c r="N227" i="10"/>
  <c r="N104" i="10" s="1"/>
  <c r="L263" i="9"/>
  <c r="N227" i="9"/>
  <c r="M104" i="9"/>
  <c r="O222" i="9"/>
  <c r="N104" i="9"/>
  <c r="J104" i="8"/>
  <c r="K222" i="8"/>
  <c r="J263" i="8"/>
  <c r="L227" i="8"/>
  <c r="H263" i="7"/>
  <c r="J227" i="7"/>
  <c r="I104" i="7"/>
  <c r="J222" i="7"/>
  <c r="K6" i="6"/>
  <c r="A7" i="6"/>
  <c r="AH86" i="6"/>
  <c r="AI86" i="6"/>
  <c r="AF83" i="5"/>
  <c r="AF85" i="5" s="1"/>
  <c r="AF86" i="5" s="1"/>
  <c r="AD5" i="5"/>
  <c r="AE83" i="5"/>
  <c r="AE85" i="5" s="1"/>
  <c r="AC5" i="5"/>
  <c r="AD83" i="5"/>
  <c r="AD85" i="5" s="1"/>
  <c r="AB5" i="5"/>
  <c r="AC83" i="5"/>
  <c r="AC85" i="5" s="1"/>
  <c r="AA5" i="5"/>
  <c r="AB83" i="5"/>
  <c r="AB85" i="5" s="1"/>
  <c r="AB86" i="5" s="1"/>
  <c r="AA83" i="5"/>
  <c r="AA85" i="5" s="1"/>
  <c r="AA86" i="5" s="1"/>
  <c r="Z83" i="5"/>
  <c r="Z85" i="5" s="1"/>
  <c r="X5" i="5"/>
  <c r="Y83" i="5"/>
  <c r="Y85" i="5" s="1"/>
  <c r="Y86" i="5" s="1"/>
  <c r="X83" i="5"/>
  <c r="X85" i="5" s="1"/>
  <c r="AP242" i="5" s="1"/>
  <c r="V5" i="5"/>
  <c r="W83" i="5"/>
  <c r="W85" i="5" s="1"/>
  <c r="AO242" i="5" s="1"/>
  <c r="U5" i="5"/>
  <c r="V83" i="5"/>
  <c r="V85" i="5" s="1"/>
  <c r="AN242" i="5" s="1"/>
  <c r="T5" i="5"/>
  <c r="U83" i="5"/>
  <c r="U85" i="5" s="1"/>
  <c r="U7" i="5" s="1"/>
  <c r="S5" i="5"/>
  <c r="T83" i="5"/>
  <c r="T85" i="5" s="1"/>
  <c r="T86" i="5" s="1"/>
  <c r="S83" i="5"/>
  <c r="S85" i="5" s="1"/>
  <c r="AK242" i="5" s="1"/>
  <c r="R83" i="5"/>
  <c r="R85" i="5" s="1"/>
  <c r="R86" i="5" s="1"/>
  <c r="P5" i="5"/>
  <c r="Q83" i="5"/>
  <c r="Q85" i="5" s="1"/>
  <c r="Q86" i="5" s="1"/>
  <c r="P83" i="5"/>
  <c r="P85" i="5" s="1"/>
  <c r="P7" i="5" s="1"/>
  <c r="N5" i="5"/>
  <c r="O83" i="5"/>
  <c r="O85" i="5" s="1"/>
  <c r="AG242" i="5" s="1"/>
  <c r="M5" i="5"/>
  <c r="AH66" i="5"/>
  <c r="N83" i="5"/>
  <c r="N85" i="5" s="1"/>
  <c r="AF242" i="5" s="1"/>
  <c r="L5" i="5"/>
  <c r="M83" i="5"/>
  <c r="M85" i="5" s="1"/>
  <c r="M7" i="5" s="1"/>
  <c r="L83" i="5"/>
  <c r="L85" i="5" s="1"/>
  <c r="L86" i="5" s="1"/>
  <c r="K5" i="5"/>
  <c r="AI66" i="5"/>
  <c r="K83" i="5"/>
  <c r="K85" i="5" s="1"/>
  <c r="AC242" i="5" s="1"/>
  <c r="J83" i="5"/>
  <c r="J85" i="5" s="1"/>
  <c r="J7" i="5" s="1"/>
  <c r="H5" i="5"/>
  <c r="I83" i="5"/>
  <c r="I85" i="5" s="1"/>
  <c r="AA242" i="5" s="1"/>
  <c r="H83" i="5"/>
  <c r="H85" i="5" s="1"/>
  <c r="H7" i="5" s="1"/>
  <c r="F5" i="5"/>
  <c r="G83" i="5"/>
  <c r="G85" i="5" s="1"/>
  <c r="G7" i="5" s="1"/>
  <c r="E5" i="5"/>
  <c r="AH62" i="5"/>
  <c r="F83" i="5"/>
  <c r="F85" i="5" s="1"/>
  <c r="X242" i="5" s="1"/>
  <c r="E94" i="5"/>
  <c r="E83" i="5"/>
  <c r="E85" i="5" s="1"/>
  <c r="E7" i="5" s="1"/>
  <c r="C5" i="5"/>
  <c r="D83" i="5"/>
  <c r="D85" i="5" s="1"/>
  <c r="D86" i="5" s="1"/>
  <c r="AI48" i="5"/>
  <c r="C83" i="5"/>
  <c r="C85" i="5" s="1"/>
  <c r="U242" i="5" s="1"/>
  <c r="AI62" i="5"/>
  <c r="F7" i="5"/>
  <c r="J225" i="5"/>
  <c r="K225" i="5" s="1"/>
  <c r="L225" i="5" s="1"/>
  <c r="M225" i="5" s="1"/>
  <c r="N225" i="5" s="1"/>
  <c r="O225" i="5" s="1"/>
  <c r="P225" i="5" s="1"/>
  <c r="AG6" i="5"/>
  <c r="P86" i="5"/>
  <c r="AF7" i="5"/>
  <c r="AX242" i="5"/>
  <c r="Y242" i="5"/>
  <c r="AW242" i="5"/>
  <c r="AE86" i="5"/>
  <c r="AE7" i="5"/>
  <c r="S86" i="5"/>
  <c r="S7" i="5"/>
  <c r="AV242" i="5"/>
  <c r="AD86" i="5"/>
  <c r="AD7" i="5"/>
  <c r="Z7" i="5"/>
  <c r="AR242" i="5"/>
  <c r="Z86" i="5"/>
  <c r="V242" i="5"/>
  <c r="AG85" i="5"/>
  <c r="G222" i="5"/>
  <c r="F228" i="5"/>
  <c r="F104" i="5"/>
  <c r="B85" i="5"/>
  <c r="AM242" i="5"/>
  <c r="U86" i="5"/>
  <c r="C86" i="5"/>
  <c r="AC7" i="5"/>
  <c r="AU242" i="5"/>
  <c r="AC86" i="5"/>
  <c r="AH44" i="5"/>
  <c r="C94" i="5"/>
  <c r="AA94" i="5"/>
  <c r="AF5" i="5"/>
  <c r="E228" i="5"/>
  <c r="D239" i="5"/>
  <c r="I5" i="5"/>
  <c r="Q5" i="5"/>
  <c r="Y5" i="5"/>
  <c r="J5" i="5"/>
  <c r="R5" i="5"/>
  <c r="H94" i="5"/>
  <c r="P94" i="5"/>
  <c r="X94" i="5"/>
  <c r="AF94" i="5"/>
  <c r="E104" i="5"/>
  <c r="AH78" i="5"/>
  <c r="AI78" i="5"/>
  <c r="AH48" i="5"/>
  <c r="AI44" i="5"/>
  <c r="G104" i="6" l="1"/>
  <c r="G228" i="6"/>
  <c r="H222" i="6"/>
  <c r="AJ242" i="5"/>
  <c r="G263" i="6"/>
  <c r="I227" i="6"/>
  <c r="H86" i="5"/>
  <c r="Q7" i="5"/>
  <c r="M86" i="5"/>
  <c r="AI242" i="5"/>
  <c r="J86" i="5"/>
  <c r="C7" i="5"/>
  <c r="E263" i="5"/>
  <c r="G227" i="5"/>
  <c r="N263" i="11"/>
  <c r="P227" i="11"/>
  <c r="O263" i="11" s="1"/>
  <c r="O104" i="11"/>
  <c r="M263" i="10"/>
  <c r="O227" i="10"/>
  <c r="P222" i="10"/>
  <c r="O104" i="10"/>
  <c r="P222" i="9"/>
  <c r="M263" i="9"/>
  <c r="O227" i="9"/>
  <c r="O104" i="9" s="1"/>
  <c r="AH104" i="9" s="1"/>
  <c r="K263" i="8"/>
  <c r="M227" i="8"/>
  <c r="L222" i="8"/>
  <c r="K104" i="8"/>
  <c r="J104" i="7"/>
  <c r="K222" i="7"/>
  <c r="K227" i="7"/>
  <c r="I263" i="7"/>
  <c r="AT242" i="5"/>
  <c r="AB7" i="5"/>
  <c r="AS242" i="5"/>
  <c r="AA7" i="5"/>
  <c r="Y7" i="5"/>
  <c r="AQ242" i="5"/>
  <c r="AI94" i="5"/>
  <c r="X7" i="5"/>
  <c r="X86" i="5"/>
  <c r="W7" i="5"/>
  <c r="W86" i="5"/>
  <c r="V7" i="5"/>
  <c r="V86" i="5"/>
  <c r="AL242" i="5"/>
  <c r="T7" i="5"/>
  <c r="O7" i="5"/>
  <c r="R7" i="5"/>
  <c r="AH242" i="5"/>
  <c r="O86" i="5"/>
  <c r="N7" i="5"/>
  <c r="N86" i="5"/>
  <c r="AE242" i="5"/>
  <c r="AD242" i="5"/>
  <c r="L7" i="5"/>
  <c r="K86" i="5"/>
  <c r="AI83" i="5"/>
  <c r="B237" i="5"/>
  <c r="K7" i="5"/>
  <c r="AH83" i="5"/>
  <c r="AB242" i="5"/>
  <c r="I7" i="5"/>
  <c r="I86" i="5"/>
  <c r="Z242" i="5"/>
  <c r="AH94" i="5"/>
  <c r="G86" i="5"/>
  <c r="C237" i="5"/>
  <c r="F86" i="5"/>
  <c r="W242" i="5"/>
  <c r="E86" i="5"/>
  <c r="D7" i="5"/>
  <c r="H222" i="5"/>
  <c r="G104" i="5"/>
  <c r="G228" i="5"/>
  <c r="B86" i="5"/>
  <c r="AH85" i="5"/>
  <c r="B7" i="5"/>
  <c r="AI85" i="5"/>
  <c r="T242" i="5"/>
  <c r="F263" i="5" l="1"/>
  <c r="H227" i="5"/>
  <c r="H263" i="6"/>
  <c r="J227" i="6"/>
  <c r="H104" i="6"/>
  <c r="H228" i="6"/>
  <c r="I222" i="6"/>
  <c r="A7" i="5"/>
  <c r="AI104" i="11"/>
  <c r="AH104" i="11"/>
  <c r="AI104" i="10"/>
  <c r="AH104" i="10"/>
  <c r="N263" i="10"/>
  <c r="P227" i="10"/>
  <c r="O263" i="10" s="1"/>
  <c r="AI104" i="9"/>
  <c r="N263" i="9"/>
  <c r="P227" i="9"/>
  <c r="O263" i="9" s="1"/>
  <c r="M222" i="8"/>
  <c r="L104" i="8"/>
  <c r="L263" i="8"/>
  <c r="N227" i="8"/>
  <c r="J263" i="7"/>
  <c r="L227" i="7"/>
  <c r="L222" i="7"/>
  <c r="K104" i="7"/>
  <c r="K6" i="5"/>
  <c r="I222" i="5"/>
  <c r="H228" i="5"/>
  <c r="H104" i="5"/>
  <c r="AI86" i="5"/>
  <c r="AH86" i="5"/>
  <c r="J222" i="6" l="1"/>
  <c r="I104" i="6"/>
  <c r="K227" i="6"/>
  <c r="I263" i="6"/>
  <c r="G263" i="5"/>
  <c r="I227" i="5"/>
  <c r="M263" i="8"/>
  <c r="O227" i="8"/>
  <c r="N222" i="8"/>
  <c r="M104" i="8"/>
  <c r="M222" i="7"/>
  <c r="L104" i="7"/>
  <c r="K263" i="7"/>
  <c r="M227" i="7"/>
  <c r="I104" i="5"/>
  <c r="J222" i="5"/>
  <c r="H263" i="5" l="1"/>
  <c r="J227" i="5"/>
  <c r="L227" i="6"/>
  <c r="J263" i="6"/>
  <c r="J104" i="6"/>
  <c r="K222" i="6"/>
  <c r="O222" i="8"/>
  <c r="N104" i="8"/>
  <c r="N263" i="8"/>
  <c r="P227" i="8"/>
  <c r="O263" i="8" s="1"/>
  <c r="L263" i="7"/>
  <c r="N227" i="7"/>
  <c r="N222" i="7"/>
  <c r="M104" i="7"/>
  <c r="J104" i="5"/>
  <c r="K222" i="5"/>
  <c r="L222" i="6" l="1"/>
  <c r="K104" i="6"/>
  <c r="K263" i="6"/>
  <c r="M227" i="6"/>
  <c r="K227" i="5"/>
  <c r="I263" i="5"/>
  <c r="P222" i="8"/>
  <c r="O104" i="8"/>
  <c r="O222" i="7"/>
  <c r="N104" i="7"/>
  <c r="M263" i="7"/>
  <c r="O227" i="7"/>
  <c r="L222" i="5"/>
  <c r="K104" i="5"/>
  <c r="J263" i="5" l="1"/>
  <c r="L227" i="5"/>
  <c r="L263" i="6"/>
  <c r="N227" i="6"/>
  <c r="M222" i="6"/>
  <c r="L104" i="6"/>
  <c r="AI104" i="8"/>
  <c r="AH104" i="8"/>
  <c r="N263" i="7"/>
  <c r="P227" i="7"/>
  <c r="O263" i="7" s="1"/>
  <c r="P222" i="7"/>
  <c r="O104" i="7"/>
  <c r="M222" i="5"/>
  <c r="L104" i="5"/>
  <c r="N222" i="6" l="1"/>
  <c r="M104" i="6"/>
  <c r="M263" i="6"/>
  <c r="O227" i="6"/>
  <c r="K263" i="5"/>
  <c r="M227" i="5"/>
  <c r="AI104" i="7"/>
  <c r="AH104" i="7"/>
  <c r="N222" i="5"/>
  <c r="M104" i="5"/>
  <c r="L263" i="5" l="1"/>
  <c r="N227" i="5"/>
  <c r="N263" i="6"/>
  <c r="P227" i="6"/>
  <c r="O263" i="6" s="1"/>
  <c r="N104" i="6"/>
  <c r="O222" i="6"/>
  <c r="O222" i="5"/>
  <c r="N104" i="5"/>
  <c r="P222" i="6" l="1"/>
  <c r="O104" i="6"/>
  <c r="AI104" i="6" s="1"/>
  <c r="O227" i="5"/>
  <c r="M263" i="5"/>
  <c r="P222" i="5"/>
  <c r="O104" i="5"/>
  <c r="R107" i="4"/>
  <c r="O107" i="4"/>
  <c r="N107" i="4"/>
  <c r="E4" i="1"/>
  <c r="B4" i="1"/>
  <c r="E4" i="3"/>
  <c r="B4" i="3"/>
  <c r="E4" i="4"/>
  <c r="H4" i="4" s="1"/>
  <c r="B4" i="4"/>
  <c r="S239" i="4" s="1"/>
  <c r="C104" i="4"/>
  <c r="D107" i="4"/>
  <c r="B107" i="4"/>
  <c r="B78" i="4"/>
  <c r="B94" i="4" s="1"/>
  <c r="B66" i="4"/>
  <c r="B62" i="4"/>
  <c r="B48" i="4"/>
  <c r="B44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B263" i="4"/>
  <c r="S238" i="4"/>
  <c r="AG228" i="4"/>
  <c r="AG61" i="4" s="1"/>
  <c r="AG62" i="4" s="1"/>
  <c r="AG3" i="4" s="1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C228" i="4"/>
  <c r="D227" i="4"/>
  <c r="C263" i="4" s="1"/>
  <c r="B227" i="4"/>
  <c r="AF263" i="4" s="1"/>
  <c r="D226" i="4"/>
  <c r="E226" i="4" s="1"/>
  <c r="F226" i="4" s="1"/>
  <c r="G226" i="4" s="1"/>
  <c r="H226" i="4" s="1"/>
  <c r="I226" i="4" s="1"/>
  <c r="J226" i="4" s="1"/>
  <c r="K226" i="4" s="1"/>
  <c r="L226" i="4" s="1"/>
  <c r="M226" i="4" s="1"/>
  <c r="N226" i="4" s="1"/>
  <c r="O226" i="4" s="1"/>
  <c r="P226" i="4" s="1"/>
  <c r="B226" i="4"/>
  <c r="D225" i="4"/>
  <c r="B225" i="4"/>
  <c r="D224" i="4"/>
  <c r="E224" i="4" s="1"/>
  <c r="F224" i="4" s="1"/>
  <c r="G224" i="4" s="1"/>
  <c r="H224" i="4" s="1"/>
  <c r="B224" i="4"/>
  <c r="D223" i="4"/>
  <c r="E223" i="4" s="1"/>
  <c r="F223" i="4" s="1"/>
  <c r="G223" i="4" s="1"/>
  <c r="H223" i="4" s="1"/>
  <c r="I223" i="4" s="1"/>
  <c r="J223" i="4" s="1"/>
  <c r="K223" i="4" s="1"/>
  <c r="L223" i="4" s="1"/>
  <c r="M223" i="4" s="1"/>
  <c r="N223" i="4" s="1"/>
  <c r="O223" i="4" s="1"/>
  <c r="P223" i="4" s="1"/>
  <c r="B223" i="4"/>
  <c r="E222" i="4"/>
  <c r="F222" i="4" s="1"/>
  <c r="G222" i="4" s="1"/>
  <c r="D222" i="4"/>
  <c r="B222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D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4" i="4"/>
  <c r="AH84" i="4"/>
  <c r="AI82" i="4"/>
  <c r="AH82" i="4"/>
  <c r="AG82" i="4"/>
  <c r="AI81" i="4"/>
  <c r="AH81" i="4"/>
  <c r="AI80" i="4"/>
  <c r="AH80" i="4"/>
  <c r="AI79" i="4"/>
  <c r="AH79" i="4"/>
  <c r="AN78" i="4"/>
  <c r="AG78" i="4"/>
  <c r="AF78" i="4"/>
  <c r="AF94" i="4" s="1"/>
  <c r="AE78" i="4"/>
  <c r="AE94" i="4" s="1"/>
  <c r="AD78" i="4"/>
  <c r="AD94" i="4" s="1"/>
  <c r="AC78" i="4"/>
  <c r="AC94" i="4" s="1"/>
  <c r="AB78" i="4"/>
  <c r="AB94" i="4" s="1"/>
  <c r="AA78" i="4"/>
  <c r="AA94" i="4" s="1"/>
  <c r="Z78" i="4"/>
  <c r="Z94" i="4" s="1"/>
  <c r="Y78" i="4"/>
  <c r="Y94" i="4" s="1"/>
  <c r="X78" i="4"/>
  <c r="X94" i="4" s="1"/>
  <c r="W78" i="4"/>
  <c r="W94" i="4" s="1"/>
  <c r="V78" i="4"/>
  <c r="V94" i="4" s="1"/>
  <c r="U78" i="4"/>
  <c r="U94" i="4" s="1"/>
  <c r="T78" i="4"/>
  <c r="T94" i="4" s="1"/>
  <c r="S78" i="4"/>
  <c r="S94" i="4" s="1"/>
  <c r="R78" i="4"/>
  <c r="R94" i="4" s="1"/>
  <c r="Q78" i="4"/>
  <c r="Q94" i="4" s="1"/>
  <c r="P78" i="4"/>
  <c r="P94" i="4" s="1"/>
  <c r="O78" i="4"/>
  <c r="O94" i="4" s="1"/>
  <c r="N78" i="4"/>
  <c r="N94" i="4" s="1"/>
  <c r="M78" i="4"/>
  <c r="M94" i="4" s="1"/>
  <c r="L78" i="4"/>
  <c r="L94" i="4" s="1"/>
  <c r="K78" i="4"/>
  <c r="K94" i="4" s="1"/>
  <c r="J78" i="4"/>
  <c r="J94" i="4" s="1"/>
  <c r="I78" i="4"/>
  <c r="I94" i="4" s="1"/>
  <c r="H78" i="4"/>
  <c r="H94" i="4" s="1"/>
  <c r="G78" i="4"/>
  <c r="G94" i="4" s="1"/>
  <c r="F78" i="4"/>
  <c r="F94" i="4" s="1"/>
  <c r="E78" i="4"/>
  <c r="E94" i="4" s="1"/>
  <c r="D78" i="4"/>
  <c r="D94" i="4" s="1"/>
  <c r="C78" i="4"/>
  <c r="AI77" i="4"/>
  <c r="AH77" i="4"/>
  <c r="AN76" i="4"/>
  <c r="AI76" i="4"/>
  <c r="AH76" i="4"/>
  <c r="AN75" i="4"/>
  <c r="AN77" i="4" s="1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AI65" i="4"/>
  <c r="AH65" i="4"/>
  <c r="AI64" i="4"/>
  <c r="AH64" i="4"/>
  <c r="AI63" i="4"/>
  <c r="AH63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I47" i="4"/>
  <c r="AH47" i="4"/>
  <c r="AI46" i="4"/>
  <c r="AH46" i="4"/>
  <c r="AI45" i="4"/>
  <c r="AH45" i="4"/>
  <c r="AG44" i="4"/>
  <c r="AG83" i="4" s="1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K83" i="4" s="1"/>
  <c r="K85" i="4" s="1"/>
  <c r="J44" i="4"/>
  <c r="J83" i="4" s="1"/>
  <c r="J85" i="4" s="1"/>
  <c r="I44" i="4"/>
  <c r="H44" i="4"/>
  <c r="G44" i="4"/>
  <c r="F44" i="4"/>
  <c r="E44" i="4"/>
  <c r="D44" i="4"/>
  <c r="C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C5" i="4"/>
  <c r="X5" i="4"/>
  <c r="V5" i="4"/>
  <c r="U5" i="4"/>
  <c r="AG4" i="4"/>
  <c r="K4" i="4"/>
  <c r="AF107" i="3"/>
  <c r="AF44" i="3"/>
  <c r="AF48" i="3"/>
  <c r="AF62" i="3"/>
  <c r="AF66" i="3"/>
  <c r="AF78" i="3"/>
  <c r="AF94" i="3" s="1"/>
  <c r="AE44" i="3"/>
  <c r="AE48" i="3"/>
  <c r="AE62" i="3"/>
  <c r="AE66" i="3"/>
  <c r="AE78" i="3"/>
  <c r="AE94" i="3" s="1"/>
  <c r="E227" i="4" l="1"/>
  <c r="N263" i="5"/>
  <c r="P227" i="5"/>
  <c r="O263" i="5" s="1"/>
  <c r="AH104" i="6"/>
  <c r="B104" i="4"/>
  <c r="AI104" i="5"/>
  <c r="AH104" i="5"/>
  <c r="AE5" i="4"/>
  <c r="AD5" i="4"/>
  <c r="AD83" i="4"/>
  <c r="AD85" i="4" s="1"/>
  <c r="AB5" i="4"/>
  <c r="AC83" i="4"/>
  <c r="AC85" i="4" s="1"/>
  <c r="AA5" i="4"/>
  <c r="AB83" i="4"/>
  <c r="AB85" i="4" s="1"/>
  <c r="AA83" i="4"/>
  <c r="AA85" i="4" s="1"/>
  <c r="AA86" i="4" s="1"/>
  <c r="Y5" i="4"/>
  <c r="Z83" i="4"/>
  <c r="Z85" i="4" s="1"/>
  <c r="Y83" i="4"/>
  <c r="Y85" i="4" s="1"/>
  <c r="X83" i="4"/>
  <c r="X85" i="4" s="1"/>
  <c r="W5" i="4"/>
  <c r="W83" i="4"/>
  <c r="W85" i="4" s="1"/>
  <c r="AO242" i="4" s="1"/>
  <c r="T5" i="4"/>
  <c r="U83" i="4"/>
  <c r="U85" i="4" s="1"/>
  <c r="U7" i="4" s="1"/>
  <c r="V83" i="4"/>
  <c r="V85" i="4" s="1"/>
  <c r="V86" i="4" s="1"/>
  <c r="S5" i="4"/>
  <c r="T83" i="4"/>
  <c r="T85" i="4" s="1"/>
  <c r="S83" i="4"/>
  <c r="S85" i="4" s="1"/>
  <c r="Q5" i="4"/>
  <c r="R83" i="4"/>
  <c r="R85" i="4" s="1"/>
  <c r="AJ242" i="4" s="1"/>
  <c r="P5" i="4"/>
  <c r="Q83" i="4"/>
  <c r="Q85" i="4" s="1"/>
  <c r="Q86" i="4" s="1"/>
  <c r="O5" i="4"/>
  <c r="P83" i="4"/>
  <c r="P85" i="4" s="1"/>
  <c r="N5" i="4"/>
  <c r="O83" i="4"/>
  <c r="O85" i="4" s="1"/>
  <c r="AG242" i="4" s="1"/>
  <c r="M5" i="4"/>
  <c r="N83" i="4"/>
  <c r="N85" i="4" s="1"/>
  <c r="N86" i="4" s="1"/>
  <c r="L5" i="4"/>
  <c r="M83" i="4"/>
  <c r="M85" i="4" s="1"/>
  <c r="AE242" i="4" s="1"/>
  <c r="K5" i="4"/>
  <c r="L83" i="4"/>
  <c r="L85" i="4" s="1"/>
  <c r="L86" i="4" s="1"/>
  <c r="I5" i="4"/>
  <c r="I83" i="4"/>
  <c r="I85" i="4" s="1"/>
  <c r="I7" i="4" s="1"/>
  <c r="H5" i="4"/>
  <c r="G5" i="4"/>
  <c r="H83" i="4"/>
  <c r="H85" i="4" s="1"/>
  <c r="H86" i="4" s="1"/>
  <c r="F5" i="4"/>
  <c r="G83" i="4"/>
  <c r="G85" i="4" s="1"/>
  <c r="D228" i="4"/>
  <c r="AE83" i="4"/>
  <c r="AE85" i="4" s="1"/>
  <c r="AE86" i="4" s="1"/>
  <c r="AF83" i="4"/>
  <c r="AF85" i="4" s="1"/>
  <c r="AF7" i="4" s="1"/>
  <c r="B228" i="4"/>
  <c r="F83" i="4"/>
  <c r="F85" i="4" s="1"/>
  <c r="X242" i="4" s="1"/>
  <c r="E5" i="4"/>
  <c r="D5" i="4"/>
  <c r="E83" i="4"/>
  <c r="E85" i="4" s="1"/>
  <c r="E86" i="4" s="1"/>
  <c r="AI48" i="4"/>
  <c r="C83" i="4"/>
  <c r="C85" i="4" s="1"/>
  <c r="C7" i="4" s="1"/>
  <c r="C5" i="4"/>
  <c r="AI62" i="4"/>
  <c r="D83" i="4"/>
  <c r="D85" i="4" s="1"/>
  <c r="D86" i="4" s="1"/>
  <c r="AI78" i="4"/>
  <c r="B83" i="4"/>
  <c r="B85" i="4" s="1"/>
  <c r="B86" i="4" s="1"/>
  <c r="AH78" i="4"/>
  <c r="AI66" i="4"/>
  <c r="P86" i="4"/>
  <c r="P7" i="4"/>
  <c r="AH242" i="4"/>
  <c r="X86" i="4"/>
  <c r="X7" i="4"/>
  <c r="AP242" i="4"/>
  <c r="O86" i="4"/>
  <c r="W86" i="4"/>
  <c r="W7" i="4"/>
  <c r="J7" i="4"/>
  <c r="J86" i="4"/>
  <c r="AB242" i="4"/>
  <c r="R7" i="4"/>
  <c r="R86" i="4"/>
  <c r="Z86" i="4"/>
  <c r="Z7" i="4"/>
  <c r="AR242" i="4"/>
  <c r="H222" i="4"/>
  <c r="K86" i="4"/>
  <c r="K7" i="4"/>
  <c r="AC242" i="4"/>
  <c r="S86" i="4"/>
  <c r="S7" i="4"/>
  <c r="AK242" i="4"/>
  <c r="Y86" i="4"/>
  <c r="Y7" i="4"/>
  <c r="AQ242" i="4"/>
  <c r="T86" i="4"/>
  <c r="T7" i="4"/>
  <c r="AL242" i="4"/>
  <c r="AB86" i="4"/>
  <c r="AB7" i="4"/>
  <c r="AT242" i="4"/>
  <c r="AG85" i="4"/>
  <c r="U86" i="4"/>
  <c r="AC7" i="4"/>
  <c r="AU242" i="4"/>
  <c r="AC86" i="4"/>
  <c r="AF242" i="4"/>
  <c r="N7" i="4"/>
  <c r="V7" i="4"/>
  <c r="AV242" i="4"/>
  <c r="AD86" i="4"/>
  <c r="AD7" i="4"/>
  <c r="AH66" i="4"/>
  <c r="D239" i="4"/>
  <c r="B5" i="4"/>
  <c r="J5" i="4"/>
  <c r="R5" i="4"/>
  <c r="Z5" i="4"/>
  <c r="AH62" i="4"/>
  <c r="F227" i="4"/>
  <c r="AG2" i="4"/>
  <c r="AG6" i="4" s="1"/>
  <c r="AH44" i="4"/>
  <c r="AH48" i="4"/>
  <c r="C94" i="4"/>
  <c r="AI94" i="4" s="1"/>
  <c r="E225" i="4"/>
  <c r="F225" i="4" s="1"/>
  <c r="G225" i="4" s="1"/>
  <c r="H225" i="4" s="1"/>
  <c r="I225" i="4" s="1"/>
  <c r="AI44" i="4"/>
  <c r="AF83" i="3"/>
  <c r="AF85" i="3" s="1"/>
  <c r="AF86" i="3" s="1"/>
  <c r="AE83" i="3"/>
  <c r="AE85" i="3" s="1"/>
  <c r="AE86" i="3" s="1"/>
  <c r="AN242" i="4" l="1"/>
  <c r="AM242" i="4"/>
  <c r="AS242" i="4"/>
  <c r="AA7" i="4"/>
  <c r="M7" i="4"/>
  <c r="AI242" i="4"/>
  <c r="Q7" i="4"/>
  <c r="D263" i="4"/>
  <c r="E104" i="4"/>
  <c r="AX242" i="4"/>
  <c r="AF86" i="4"/>
  <c r="AW242" i="4"/>
  <c r="AE7" i="4"/>
  <c r="F7" i="4"/>
  <c r="C86" i="4"/>
  <c r="F86" i="4"/>
  <c r="O7" i="4"/>
  <c r="M86" i="4"/>
  <c r="AD242" i="4"/>
  <c r="L7" i="4"/>
  <c r="I86" i="4"/>
  <c r="AA242" i="4"/>
  <c r="Z242" i="4"/>
  <c r="H7" i="4"/>
  <c r="C237" i="4"/>
  <c r="B237" i="4"/>
  <c r="G7" i="4"/>
  <c r="G86" i="4"/>
  <c r="Y242" i="4"/>
  <c r="W242" i="4"/>
  <c r="E7" i="4"/>
  <c r="U242" i="4"/>
  <c r="AH94" i="4"/>
  <c r="AI83" i="4"/>
  <c r="AH83" i="4"/>
  <c r="V242" i="4"/>
  <c r="D7" i="4"/>
  <c r="AH85" i="4"/>
  <c r="B7" i="4"/>
  <c r="T242" i="4"/>
  <c r="AI85" i="4"/>
  <c r="G227" i="4"/>
  <c r="E263" i="4"/>
  <c r="J225" i="4"/>
  <c r="K225" i="4" s="1"/>
  <c r="L225" i="4" s="1"/>
  <c r="M225" i="4" s="1"/>
  <c r="N225" i="4" s="1"/>
  <c r="O225" i="4" s="1"/>
  <c r="P225" i="4" s="1"/>
  <c r="I222" i="4"/>
  <c r="E228" i="4"/>
  <c r="F104" i="4"/>
  <c r="F228" i="4"/>
  <c r="K6" i="4" l="1"/>
  <c r="A7" i="4"/>
  <c r="F263" i="4"/>
  <c r="H227" i="4"/>
  <c r="G104" i="4"/>
  <c r="G228" i="4"/>
  <c r="J222" i="4"/>
  <c r="AI86" i="4"/>
  <c r="AH86" i="4"/>
  <c r="G263" i="4" l="1"/>
  <c r="I227" i="4"/>
  <c r="H228" i="4"/>
  <c r="H104" i="4"/>
  <c r="K222" i="4"/>
  <c r="H263" i="4" l="1"/>
  <c r="J227" i="4"/>
  <c r="I104" i="4"/>
  <c r="L222" i="4"/>
  <c r="M222" i="4" l="1"/>
  <c r="K227" i="4"/>
  <c r="I263" i="4"/>
  <c r="J104" i="4"/>
  <c r="J263" i="4" l="1"/>
  <c r="L227" i="4"/>
  <c r="K104" i="4"/>
  <c r="N222" i="4"/>
  <c r="O222" i="4" l="1"/>
  <c r="K263" i="4"/>
  <c r="M227" i="4"/>
  <c r="L104" i="4"/>
  <c r="L263" i="4" l="1"/>
  <c r="N227" i="4"/>
  <c r="M104" i="4"/>
  <c r="P222" i="4"/>
  <c r="O227" i="4" l="1"/>
  <c r="M263" i="4"/>
  <c r="N104" i="4"/>
  <c r="N263" i="4" l="1"/>
  <c r="P227" i="4"/>
  <c r="O263" i="4" s="1"/>
  <c r="O104" i="4"/>
  <c r="AI104" i="4" l="1"/>
  <c r="AH104" i="4"/>
  <c r="R107" i="3" l="1"/>
  <c r="Q107" i="3"/>
  <c r="M107" i="3" l="1"/>
  <c r="M66" i="3"/>
  <c r="L107" i="3"/>
  <c r="K107" i="3"/>
  <c r="J107" i="3"/>
  <c r="I107" i="3"/>
  <c r="H107" i="3"/>
  <c r="F107" i="3"/>
  <c r="AF267" i="3" l="1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B263" i="3"/>
  <c r="S238" i="3"/>
  <c r="AG228" i="3"/>
  <c r="AG61" i="3" s="1"/>
  <c r="AG62" i="3" s="1"/>
  <c r="AG3" i="3" s="1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C228" i="3"/>
  <c r="D227" i="3"/>
  <c r="C263" i="3" s="1"/>
  <c r="B227" i="3"/>
  <c r="AF263" i="3" s="1"/>
  <c r="D226" i="3"/>
  <c r="E226" i="3" s="1"/>
  <c r="F226" i="3" s="1"/>
  <c r="G226" i="3" s="1"/>
  <c r="H226" i="3" s="1"/>
  <c r="I226" i="3" s="1"/>
  <c r="J226" i="3" s="1"/>
  <c r="K226" i="3" s="1"/>
  <c r="L226" i="3" s="1"/>
  <c r="M226" i="3" s="1"/>
  <c r="N226" i="3" s="1"/>
  <c r="O226" i="3" s="1"/>
  <c r="P226" i="3" s="1"/>
  <c r="B226" i="3"/>
  <c r="D225" i="3"/>
  <c r="B225" i="3"/>
  <c r="D224" i="3"/>
  <c r="E224" i="3" s="1"/>
  <c r="F224" i="3" s="1"/>
  <c r="G224" i="3" s="1"/>
  <c r="H224" i="3" s="1"/>
  <c r="B224" i="3"/>
  <c r="D223" i="3"/>
  <c r="E223" i="3" s="1"/>
  <c r="F223" i="3" s="1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B223" i="3"/>
  <c r="E222" i="3"/>
  <c r="F222" i="3" s="1"/>
  <c r="G222" i="3" s="1"/>
  <c r="D222" i="3"/>
  <c r="B222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I113" i="3"/>
  <c r="AH113" i="3"/>
  <c r="AI112" i="3"/>
  <c r="AH112" i="3"/>
  <c r="AI111" i="3"/>
  <c r="AH111" i="3"/>
  <c r="AI110" i="3"/>
  <c r="AH110" i="3"/>
  <c r="AI109" i="3"/>
  <c r="AH109" i="3"/>
  <c r="AI108" i="3"/>
  <c r="AH108" i="3"/>
  <c r="AI107" i="3"/>
  <c r="AH107" i="3"/>
  <c r="AI106" i="3"/>
  <c r="AH106" i="3"/>
  <c r="AI105" i="3"/>
  <c r="AH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D104" i="3"/>
  <c r="C104" i="3"/>
  <c r="AI103" i="3"/>
  <c r="AH103" i="3"/>
  <c r="AI102" i="3"/>
  <c r="AH102" i="3"/>
  <c r="AI101" i="3"/>
  <c r="AH101" i="3"/>
  <c r="AI100" i="3"/>
  <c r="AH100" i="3"/>
  <c r="AI99" i="3"/>
  <c r="AH99" i="3"/>
  <c r="AI98" i="3"/>
  <c r="AH98" i="3"/>
  <c r="AI97" i="3"/>
  <c r="AH97" i="3"/>
  <c r="AI96" i="3"/>
  <c r="AH96" i="3"/>
  <c r="AI95" i="3"/>
  <c r="AH95" i="3"/>
  <c r="AI93" i="3"/>
  <c r="AH93" i="3"/>
  <c r="AI92" i="3"/>
  <c r="AH92" i="3"/>
  <c r="AI91" i="3"/>
  <c r="AH91" i="3"/>
  <c r="AI90" i="3"/>
  <c r="AH90" i="3"/>
  <c r="AI89" i="3"/>
  <c r="AH89" i="3"/>
  <c r="AI88" i="3"/>
  <c r="AH88" i="3"/>
  <c r="AI87" i="3"/>
  <c r="AH87" i="3"/>
  <c r="AI84" i="3"/>
  <c r="AH84" i="3"/>
  <c r="AI82" i="3"/>
  <c r="AH82" i="3"/>
  <c r="AG82" i="3"/>
  <c r="AI81" i="3"/>
  <c r="AH81" i="3"/>
  <c r="AI80" i="3"/>
  <c r="AH80" i="3"/>
  <c r="AI79" i="3"/>
  <c r="AH79" i="3"/>
  <c r="AN78" i="3"/>
  <c r="AG78" i="3"/>
  <c r="AD78" i="3"/>
  <c r="AD94" i="3" s="1"/>
  <c r="AC78" i="3"/>
  <c r="AC94" i="3" s="1"/>
  <c r="AB78" i="3"/>
  <c r="AB94" i="3" s="1"/>
  <c r="AA78" i="3"/>
  <c r="AA94" i="3" s="1"/>
  <c r="Z78" i="3"/>
  <c r="Y5" i="3" s="1"/>
  <c r="Y78" i="3"/>
  <c r="Y94" i="3" s="1"/>
  <c r="X78" i="3"/>
  <c r="X94" i="3" s="1"/>
  <c r="W78" i="3"/>
  <c r="W94" i="3" s="1"/>
  <c r="V78" i="3"/>
  <c r="V94" i="3" s="1"/>
  <c r="U78" i="3"/>
  <c r="U94" i="3" s="1"/>
  <c r="T78" i="3"/>
  <c r="T94" i="3" s="1"/>
  <c r="S78" i="3"/>
  <c r="S94" i="3" s="1"/>
  <c r="R78" i="3"/>
  <c r="R94" i="3" s="1"/>
  <c r="Q78" i="3"/>
  <c r="Q94" i="3" s="1"/>
  <c r="P78" i="3"/>
  <c r="P94" i="3" s="1"/>
  <c r="O78" i="3"/>
  <c r="O94" i="3" s="1"/>
  <c r="N78" i="3"/>
  <c r="N94" i="3" s="1"/>
  <c r="M78" i="3"/>
  <c r="M94" i="3" s="1"/>
  <c r="L78" i="3"/>
  <c r="L94" i="3" s="1"/>
  <c r="K78" i="3"/>
  <c r="K94" i="3" s="1"/>
  <c r="J78" i="3"/>
  <c r="J94" i="3" s="1"/>
  <c r="I78" i="3"/>
  <c r="I94" i="3" s="1"/>
  <c r="H78" i="3"/>
  <c r="H94" i="3" s="1"/>
  <c r="G78" i="3"/>
  <c r="G94" i="3" s="1"/>
  <c r="F78" i="3"/>
  <c r="F94" i="3" s="1"/>
  <c r="E78" i="3"/>
  <c r="E94" i="3" s="1"/>
  <c r="D78" i="3"/>
  <c r="D94" i="3" s="1"/>
  <c r="C78" i="3"/>
  <c r="C94" i="3" s="1"/>
  <c r="B78" i="3"/>
  <c r="AI77" i="3"/>
  <c r="AH77" i="3"/>
  <c r="AN76" i="3"/>
  <c r="AI76" i="3"/>
  <c r="AH76" i="3"/>
  <c r="AN75" i="3"/>
  <c r="AI75" i="3"/>
  <c r="AH75" i="3"/>
  <c r="AI74" i="3"/>
  <c r="AH74" i="3"/>
  <c r="AI73" i="3"/>
  <c r="AH73" i="3"/>
  <c r="AI72" i="3"/>
  <c r="AH72" i="3"/>
  <c r="AI71" i="3"/>
  <c r="AH71" i="3"/>
  <c r="AI70" i="3"/>
  <c r="AH70" i="3"/>
  <c r="AI69" i="3"/>
  <c r="AH69" i="3"/>
  <c r="AI68" i="3"/>
  <c r="AH68" i="3"/>
  <c r="AI67" i="3"/>
  <c r="AH67" i="3"/>
  <c r="AG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L66" i="3"/>
  <c r="AI65" i="3"/>
  <c r="AH65" i="3"/>
  <c r="AI64" i="3"/>
  <c r="AH64" i="3"/>
  <c r="AI63" i="3"/>
  <c r="AH63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G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I47" i="3"/>
  <c r="AH47" i="3"/>
  <c r="AI46" i="3"/>
  <c r="AH46" i="3"/>
  <c r="AI45" i="3"/>
  <c r="AH45" i="3"/>
  <c r="AG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E5" i="3"/>
  <c r="AD5" i="3"/>
  <c r="S5" i="3"/>
  <c r="K5" i="3"/>
  <c r="AG4" i="3"/>
  <c r="K4" i="3"/>
  <c r="H4" i="3"/>
  <c r="S239" i="3"/>
  <c r="AB107" i="1"/>
  <c r="AB104" i="1" s="1"/>
  <c r="AA10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B263" i="1"/>
  <c r="S238" i="1"/>
  <c r="AG228" i="1"/>
  <c r="AG61" i="1" s="1"/>
  <c r="AG62" i="1" s="1"/>
  <c r="AG3" i="1" s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C228" i="1"/>
  <c r="F227" i="1"/>
  <c r="E263" i="1" s="1"/>
  <c r="E227" i="1"/>
  <c r="D263" i="1" s="1"/>
  <c r="D227" i="1"/>
  <c r="C263" i="1" s="1"/>
  <c r="B227" i="1"/>
  <c r="AF263" i="1" s="1"/>
  <c r="D226" i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B226" i="1"/>
  <c r="D225" i="1"/>
  <c r="E225" i="1" s="1"/>
  <c r="F225" i="1" s="1"/>
  <c r="G225" i="1" s="1"/>
  <c r="H225" i="1" s="1"/>
  <c r="I225" i="1" s="1"/>
  <c r="B225" i="1"/>
  <c r="D224" i="1"/>
  <c r="E224" i="1" s="1"/>
  <c r="F224" i="1" s="1"/>
  <c r="G224" i="1" s="1"/>
  <c r="H224" i="1" s="1"/>
  <c r="B224" i="1"/>
  <c r="D223" i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B223" i="1"/>
  <c r="D222" i="1"/>
  <c r="B222" i="1"/>
  <c r="B104" i="1" s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I113" i="1"/>
  <c r="AH113" i="1"/>
  <c r="AI112" i="1"/>
  <c r="AH112" i="1"/>
  <c r="AI111" i="1"/>
  <c r="AH111" i="1"/>
  <c r="AI110" i="1"/>
  <c r="AH110" i="1"/>
  <c r="AI109" i="1"/>
  <c r="AH109" i="1"/>
  <c r="AI108" i="1"/>
  <c r="AH108" i="1"/>
  <c r="M107" i="1"/>
  <c r="L107" i="1"/>
  <c r="AH107" i="1" s="1"/>
  <c r="AI106" i="1"/>
  <c r="AH106" i="1"/>
  <c r="AI105" i="1"/>
  <c r="AH105" i="1"/>
  <c r="AF104" i="1"/>
  <c r="AE104" i="1"/>
  <c r="AD104" i="1"/>
  <c r="AC104" i="1"/>
  <c r="AA104" i="1"/>
  <c r="Z104" i="1"/>
  <c r="Y104" i="1"/>
  <c r="X104" i="1"/>
  <c r="W104" i="1"/>
  <c r="V104" i="1"/>
  <c r="U104" i="1"/>
  <c r="T104" i="1"/>
  <c r="S104" i="1"/>
  <c r="R104" i="1"/>
  <c r="Q104" i="1"/>
  <c r="D104" i="1"/>
  <c r="C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4" i="1"/>
  <c r="AH84" i="1"/>
  <c r="J83" i="1"/>
  <c r="J85" i="1" s="1"/>
  <c r="AI82" i="1"/>
  <c r="AH82" i="1"/>
  <c r="AG82" i="1"/>
  <c r="AI81" i="1"/>
  <c r="AH81" i="1"/>
  <c r="AI80" i="1"/>
  <c r="AH80" i="1"/>
  <c r="AI79" i="1"/>
  <c r="AH79" i="1"/>
  <c r="AN78" i="1"/>
  <c r="AG78" i="1"/>
  <c r="AF78" i="1"/>
  <c r="AF94" i="1" s="1"/>
  <c r="AE78" i="1"/>
  <c r="AE94" i="1" s="1"/>
  <c r="AD78" i="1"/>
  <c r="AC78" i="1"/>
  <c r="AC94" i="1" s="1"/>
  <c r="AB78" i="1"/>
  <c r="AB94" i="1" s="1"/>
  <c r="AA78" i="1"/>
  <c r="AA94" i="1" s="1"/>
  <c r="Z78" i="1"/>
  <c r="Z94" i="1" s="1"/>
  <c r="Y78" i="1"/>
  <c r="Y94" i="1" s="1"/>
  <c r="X78" i="1"/>
  <c r="X94" i="1" s="1"/>
  <c r="W78" i="1"/>
  <c r="W94" i="1" s="1"/>
  <c r="V78" i="1"/>
  <c r="U78" i="1"/>
  <c r="U94" i="1" s="1"/>
  <c r="T78" i="1"/>
  <c r="T94" i="1" s="1"/>
  <c r="S78" i="1"/>
  <c r="S94" i="1" s="1"/>
  <c r="R78" i="1"/>
  <c r="R94" i="1" s="1"/>
  <c r="Q78" i="1"/>
  <c r="Q94" i="1" s="1"/>
  <c r="P78" i="1"/>
  <c r="P94" i="1" s="1"/>
  <c r="O78" i="1"/>
  <c r="O94" i="1" s="1"/>
  <c r="N78" i="1"/>
  <c r="M78" i="1"/>
  <c r="L5" i="1" s="1"/>
  <c r="L78" i="1"/>
  <c r="L94" i="1" s="1"/>
  <c r="K78" i="1"/>
  <c r="K94" i="1" s="1"/>
  <c r="J78" i="1"/>
  <c r="J94" i="1" s="1"/>
  <c r="I78" i="1"/>
  <c r="I94" i="1" s="1"/>
  <c r="H78" i="1"/>
  <c r="H94" i="1" s="1"/>
  <c r="G78" i="1"/>
  <c r="G94" i="1" s="1"/>
  <c r="F78" i="1"/>
  <c r="E78" i="1"/>
  <c r="E94" i="1" s="1"/>
  <c r="D78" i="1"/>
  <c r="D94" i="1" s="1"/>
  <c r="C78" i="1"/>
  <c r="C94" i="1" s="1"/>
  <c r="B78" i="1"/>
  <c r="B94" i="1" s="1"/>
  <c r="AI77" i="1"/>
  <c r="AH77" i="1"/>
  <c r="AN76" i="1"/>
  <c r="AI76" i="1"/>
  <c r="AH76" i="1"/>
  <c r="AN75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G66" i="1"/>
  <c r="AG4" i="1" s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AI65" i="1"/>
  <c r="AH65" i="1"/>
  <c r="AI64" i="1"/>
  <c r="AH64" i="1"/>
  <c r="AI63" i="1"/>
  <c r="AH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I47" i="1"/>
  <c r="AH47" i="1"/>
  <c r="AI46" i="1"/>
  <c r="AH46" i="1"/>
  <c r="AI45" i="1"/>
  <c r="AH45" i="1"/>
  <c r="AG44" i="1"/>
  <c r="AG2" i="1" s="1"/>
  <c r="AF44" i="1"/>
  <c r="AE44" i="1"/>
  <c r="AD44" i="1"/>
  <c r="AC44" i="1"/>
  <c r="AB44" i="1"/>
  <c r="AA44" i="1"/>
  <c r="Z44" i="1"/>
  <c r="Y44" i="1"/>
  <c r="X44" i="1"/>
  <c r="W44" i="1"/>
  <c r="W83" i="1" s="1"/>
  <c r="W85" i="1" s="1"/>
  <c r="V44" i="1"/>
  <c r="U44" i="1"/>
  <c r="T44" i="1"/>
  <c r="S44" i="1"/>
  <c r="R44" i="1"/>
  <c r="R83" i="1" s="1"/>
  <c r="R85" i="1" s="1"/>
  <c r="Q44" i="1"/>
  <c r="P44" i="1"/>
  <c r="O44" i="1"/>
  <c r="O83" i="1" s="1"/>
  <c r="O85" i="1" s="1"/>
  <c r="N44" i="1"/>
  <c r="M44" i="1"/>
  <c r="L44" i="1"/>
  <c r="K44" i="1"/>
  <c r="J44" i="1"/>
  <c r="I44" i="1"/>
  <c r="I83" i="1" s="1"/>
  <c r="I85" i="1" s="1"/>
  <c r="H44" i="1"/>
  <c r="G44" i="1"/>
  <c r="G83" i="1" s="1"/>
  <c r="G85" i="1" s="1"/>
  <c r="F44" i="1"/>
  <c r="E44" i="1"/>
  <c r="D44" i="1"/>
  <c r="C44" i="1"/>
  <c r="B44" i="1"/>
  <c r="B83" i="1" s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A5" i="1"/>
  <c r="Y5" i="1"/>
  <c r="X5" i="1"/>
  <c r="W5" i="1"/>
  <c r="V5" i="1"/>
  <c r="T5" i="1"/>
  <c r="S5" i="1"/>
  <c r="R5" i="1"/>
  <c r="Q5" i="1"/>
  <c r="P5" i="1"/>
  <c r="O5" i="1"/>
  <c r="N5" i="1"/>
  <c r="K5" i="1"/>
  <c r="J5" i="1"/>
  <c r="I5" i="1"/>
  <c r="H5" i="1"/>
  <c r="G5" i="1"/>
  <c r="F5" i="1"/>
  <c r="C5" i="1"/>
  <c r="B5" i="1"/>
  <c r="K4" i="1"/>
  <c r="H4" i="1"/>
  <c r="S239" i="1"/>
  <c r="D5" i="1" l="1"/>
  <c r="C83" i="1"/>
  <c r="C85" i="1" s="1"/>
  <c r="K83" i="1"/>
  <c r="K85" i="1" s="1"/>
  <c r="S83" i="1"/>
  <c r="S85" i="1" s="1"/>
  <c r="S86" i="1" s="1"/>
  <c r="D228" i="1"/>
  <c r="B228" i="1"/>
  <c r="AG85" i="3"/>
  <c r="D83" i="1"/>
  <c r="D85" i="1" s="1"/>
  <c r="D86" i="1" s="1"/>
  <c r="L83" i="1"/>
  <c r="L85" i="1" s="1"/>
  <c r="T83" i="1"/>
  <c r="T85" i="1" s="1"/>
  <c r="T86" i="1" s="1"/>
  <c r="AI107" i="1"/>
  <c r="E222" i="1"/>
  <c r="E83" i="1"/>
  <c r="E85" i="1" s="1"/>
  <c r="E86" i="1" s="1"/>
  <c r="M83" i="1"/>
  <c r="M85" i="1" s="1"/>
  <c r="M86" i="1" s="1"/>
  <c r="U83" i="1"/>
  <c r="U85" i="1" s="1"/>
  <c r="U86" i="1" s="1"/>
  <c r="B228" i="3"/>
  <c r="F83" i="1"/>
  <c r="F85" i="1" s="1"/>
  <c r="N83" i="1"/>
  <c r="N85" i="1" s="1"/>
  <c r="V83" i="1"/>
  <c r="V85" i="1" s="1"/>
  <c r="B237" i="1"/>
  <c r="M94" i="1"/>
  <c r="H83" i="1"/>
  <c r="H85" i="1" s="1"/>
  <c r="P83" i="1"/>
  <c r="P85" i="1" s="1"/>
  <c r="P86" i="1" s="1"/>
  <c r="X83" i="1"/>
  <c r="X85" i="1" s="1"/>
  <c r="X86" i="1" s="1"/>
  <c r="Z83" i="1"/>
  <c r="Z85" i="1" s="1"/>
  <c r="AN77" i="1"/>
  <c r="G227" i="1"/>
  <c r="F83" i="3"/>
  <c r="F85" i="3" s="1"/>
  <c r="F86" i="3" s="1"/>
  <c r="AN77" i="3"/>
  <c r="B104" i="3"/>
  <c r="D228" i="3"/>
  <c r="AC5" i="3"/>
  <c r="AD83" i="3"/>
  <c r="AD85" i="3" s="1"/>
  <c r="AD7" i="3" s="1"/>
  <c r="AB5" i="3"/>
  <c r="AC83" i="3"/>
  <c r="AC85" i="3" s="1"/>
  <c r="AU242" i="3" s="1"/>
  <c r="AA5" i="3"/>
  <c r="AB83" i="3"/>
  <c r="AB85" i="3" s="1"/>
  <c r="AB86" i="3" s="1"/>
  <c r="AA83" i="3"/>
  <c r="AA85" i="3" s="1"/>
  <c r="AA86" i="3" s="1"/>
  <c r="Z94" i="3"/>
  <c r="Z83" i="3"/>
  <c r="Z85" i="3" s="1"/>
  <c r="Z86" i="3" s="1"/>
  <c r="X5" i="3"/>
  <c r="Y83" i="3"/>
  <c r="Y85" i="3" s="1"/>
  <c r="W5" i="3"/>
  <c r="X83" i="3"/>
  <c r="X85" i="3" s="1"/>
  <c r="X86" i="3" s="1"/>
  <c r="V5" i="3"/>
  <c r="W83" i="3"/>
  <c r="W85" i="3" s="1"/>
  <c r="W86" i="3" s="1"/>
  <c r="U5" i="3"/>
  <c r="V83" i="3"/>
  <c r="V85" i="3" s="1"/>
  <c r="V86" i="3" s="1"/>
  <c r="T5" i="3"/>
  <c r="U83" i="3"/>
  <c r="U85" i="3" s="1"/>
  <c r="T83" i="3"/>
  <c r="T85" i="3" s="1"/>
  <c r="T7" i="3" s="1"/>
  <c r="S83" i="3"/>
  <c r="S85" i="3" s="1"/>
  <c r="S7" i="3" s="1"/>
  <c r="Q5" i="3"/>
  <c r="R83" i="3"/>
  <c r="R85" i="3" s="1"/>
  <c r="R7" i="3" s="1"/>
  <c r="P5" i="3"/>
  <c r="Q83" i="3"/>
  <c r="Q85" i="3" s="1"/>
  <c r="AI242" i="3" s="1"/>
  <c r="O5" i="3"/>
  <c r="P83" i="3"/>
  <c r="P85" i="3" s="1"/>
  <c r="P86" i="3" s="1"/>
  <c r="O83" i="3"/>
  <c r="O85" i="3" s="1"/>
  <c r="N5" i="3"/>
  <c r="M5" i="3"/>
  <c r="AI66" i="3"/>
  <c r="N83" i="3"/>
  <c r="N85" i="3" s="1"/>
  <c r="AF242" i="3" s="1"/>
  <c r="L5" i="3"/>
  <c r="M83" i="3"/>
  <c r="M85" i="3" s="1"/>
  <c r="AE242" i="3" s="1"/>
  <c r="L83" i="3"/>
  <c r="L85" i="3" s="1"/>
  <c r="AD242" i="3" s="1"/>
  <c r="K83" i="3"/>
  <c r="K85" i="3" s="1"/>
  <c r="AC242" i="3" s="1"/>
  <c r="I5" i="3"/>
  <c r="J83" i="3"/>
  <c r="J85" i="3" s="1"/>
  <c r="AB242" i="3" s="1"/>
  <c r="H5" i="3"/>
  <c r="I83" i="3"/>
  <c r="I85" i="3" s="1"/>
  <c r="I7" i="3" s="1"/>
  <c r="G5" i="3"/>
  <c r="H83" i="3"/>
  <c r="H85" i="3" s="1"/>
  <c r="Z242" i="3" s="1"/>
  <c r="F5" i="3"/>
  <c r="E5" i="3"/>
  <c r="D5" i="3"/>
  <c r="G83" i="3"/>
  <c r="G85" i="3" s="1"/>
  <c r="G86" i="3" s="1"/>
  <c r="E83" i="3"/>
  <c r="E85" i="3" s="1"/>
  <c r="E86" i="3" s="1"/>
  <c r="AI48" i="3"/>
  <c r="D83" i="3"/>
  <c r="D85" i="3" s="1"/>
  <c r="D7" i="3" s="1"/>
  <c r="C5" i="3"/>
  <c r="AI62" i="3"/>
  <c r="AH78" i="3"/>
  <c r="C83" i="3"/>
  <c r="C85" i="3" s="1"/>
  <c r="U242" i="3" s="1"/>
  <c r="AF5" i="3"/>
  <c r="B94" i="3"/>
  <c r="B83" i="3"/>
  <c r="L86" i="3"/>
  <c r="L7" i="3"/>
  <c r="T86" i="3"/>
  <c r="J7" i="3"/>
  <c r="W242" i="3"/>
  <c r="M7" i="3"/>
  <c r="U7" i="3"/>
  <c r="AM242" i="3"/>
  <c r="U86" i="3"/>
  <c r="AC7" i="3"/>
  <c r="S86" i="3"/>
  <c r="AH94" i="3"/>
  <c r="X242" i="3"/>
  <c r="AV242" i="3"/>
  <c r="AD86" i="3"/>
  <c r="AW242" i="3"/>
  <c r="AE7" i="3"/>
  <c r="H86" i="3"/>
  <c r="H7" i="3"/>
  <c r="P7" i="3"/>
  <c r="AH242" i="3"/>
  <c r="AF7" i="3"/>
  <c r="AX242" i="3"/>
  <c r="AG242" i="3"/>
  <c r="O86" i="3"/>
  <c r="O7" i="3"/>
  <c r="Y7" i="3"/>
  <c r="AQ242" i="3"/>
  <c r="Y86" i="3"/>
  <c r="AG83" i="3"/>
  <c r="AO242" i="3"/>
  <c r="H222" i="3"/>
  <c r="AI78" i="3"/>
  <c r="AH66" i="3"/>
  <c r="D239" i="3"/>
  <c r="E227" i="3"/>
  <c r="B5" i="3"/>
  <c r="J5" i="3"/>
  <c r="R5" i="3"/>
  <c r="Z5" i="3"/>
  <c r="AH62" i="3"/>
  <c r="AG2" i="3"/>
  <c r="AG6" i="3" s="1"/>
  <c r="AH44" i="3"/>
  <c r="AH48" i="3"/>
  <c r="E225" i="3"/>
  <c r="F225" i="3" s="1"/>
  <c r="G225" i="3" s="1"/>
  <c r="H225" i="3" s="1"/>
  <c r="I225" i="3" s="1"/>
  <c r="AI44" i="3"/>
  <c r="AD5" i="1"/>
  <c r="AE5" i="1"/>
  <c r="AD83" i="1"/>
  <c r="AD85" i="1" s="1"/>
  <c r="AD7" i="1" s="1"/>
  <c r="AE83" i="1"/>
  <c r="AE85" i="1" s="1"/>
  <c r="AE7" i="1" s="1"/>
  <c r="AF83" i="1"/>
  <c r="AF85" i="1" s="1"/>
  <c r="AX242" i="1" s="1"/>
  <c r="AB5" i="1"/>
  <c r="AC83" i="1"/>
  <c r="AC85" i="1" s="1"/>
  <c r="AC86" i="1" s="1"/>
  <c r="AI48" i="1"/>
  <c r="AB83" i="1"/>
  <c r="AB85" i="1" s="1"/>
  <c r="AB86" i="1" s="1"/>
  <c r="Z5" i="1"/>
  <c r="AA83" i="1"/>
  <c r="AA85" i="1" s="1"/>
  <c r="AA86" i="1" s="1"/>
  <c r="V86" i="1"/>
  <c r="AN242" i="1"/>
  <c r="V7" i="1"/>
  <c r="J225" i="1"/>
  <c r="K225" i="1" s="1"/>
  <c r="L225" i="1" s="1"/>
  <c r="M225" i="1" s="1"/>
  <c r="N225" i="1" s="1"/>
  <c r="O225" i="1" s="1"/>
  <c r="P225" i="1" s="1"/>
  <c r="AG85" i="1"/>
  <c r="W86" i="1"/>
  <c r="AO242" i="1"/>
  <c r="W7" i="1"/>
  <c r="F86" i="1"/>
  <c r="X242" i="1"/>
  <c r="F7" i="1"/>
  <c r="I86" i="1"/>
  <c r="AA242" i="1"/>
  <c r="I7" i="1"/>
  <c r="Q83" i="1"/>
  <c r="Q85" i="1" s="1"/>
  <c r="Y83" i="1"/>
  <c r="Y85" i="1" s="1"/>
  <c r="AG83" i="1"/>
  <c r="J86" i="1"/>
  <c r="AB242" i="1"/>
  <c r="J7" i="1"/>
  <c r="AE242" i="1"/>
  <c r="G86" i="1"/>
  <c r="Y242" i="1"/>
  <c r="G7" i="1"/>
  <c r="C237" i="1"/>
  <c r="AI66" i="1"/>
  <c r="B85" i="1"/>
  <c r="N86" i="1"/>
  <c r="AF242" i="1"/>
  <c r="N7" i="1"/>
  <c r="W242" i="1"/>
  <c r="AI44" i="1"/>
  <c r="E5" i="1"/>
  <c r="F94" i="1"/>
  <c r="AH94" i="1" s="1"/>
  <c r="M5" i="1"/>
  <c r="N94" i="1"/>
  <c r="U5" i="1"/>
  <c r="V94" i="1"/>
  <c r="AC5" i="1"/>
  <c r="AD94" i="1"/>
  <c r="R86" i="1"/>
  <c r="AJ242" i="1"/>
  <c r="R7" i="1"/>
  <c r="O86" i="1"/>
  <c r="AG242" i="1"/>
  <c r="O7" i="1"/>
  <c r="C86" i="1"/>
  <c r="U242" i="1"/>
  <c r="C7" i="1"/>
  <c r="K86" i="1"/>
  <c r="K7" i="1"/>
  <c r="AC242" i="1"/>
  <c r="AK242" i="1"/>
  <c r="AI62" i="1"/>
  <c r="Z86" i="1"/>
  <c r="AR242" i="1"/>
  <c r="Z7" i="1"/>
  <c r="M7" i="1"/>
  <c r="H86" i="1"/>
  <c r="Z242" i="1"/>
  <c r="H7" i="1"/>
  <c r="AG6" i="1"/>
  <c r="E7" i="1"/>
  <c r="AD242" i="1"/>
  <c r="L7" i="1"/>
  <c r="AL242" i="1"/>
  <c r="T7" i="1"/>
  <c r="AT242" i="1"/>
  <c r="L86" i="1"/>
  <c r="AH66" i="1"/>
  <c r="AH62" i="1"/>
  <c r="E228" i="1"/>
  <c r="D239" i="1"/>
  <c r="AH78" i="1"/>
  <c r="AI78" i="1"/>
  <c r="AH44" i="1"/>
  <c r="AH48" i="1"/>
  <c r="AS242" i="1" l="1"/>
  <c r="AI94" i="3"/>
  <c r="Q7" i="3"/>
  <c r="AA7" i="1"/>
  <c r="X7" i="1"/>
  <c r="E228" i="3"/>
  <c r="AK242" i="3"/>
  <c r="S7" i="1"/>
  <c r="AP242" i="1"/>
  <c r="U7" i="1"/>
  <c r="V7" i="3"/>
  <c r="E7" i="3"/>
  <c r="P7" i="1"/>
  <c r="Z7" i="3"/>
  <c r="D7" i="1"/>
  <c r="K6" i="1"/>
  <c r="AH242" i="1"/>
  <c r="AR242" i="3"/>
  <c r="AN242" i="3"/>
  <c r="H227" i="1"/>
  <c r="F263" i="1"/>
  <c r="V242" i="1"/>
  <c r="F7" i="3"/>
  <c r="D86" i="3"/>
  <c r="Q86" i="3"/>
  <c r="F222" i="1"/>
  <c r="E104" i="1"/>
  <c r="AM242" i="1"/>
  <c r="AC86" i="3"/>
  <c r="AT242" i="3"/>
  <c r="AB7" i="3"/>
  <c r="AS242" i="3"/>
  <c r="AA7" i="3"/>
  <c r="AP242" i="3"/>
  <c r="X7" i="3"/>
  <c r="W7" i="3"/>
  <c r="AL242" i="3"/>
  <c r="AJ242" i="3"/>
  <c r="R86" i="3"/>
  <c r="Y242" i="3"/>
  <c r="N7" i="3"/>
  <c r="N86" i="3"/>
  <c r="M86" i="3"/>
  <c r="I86" i="3"/>
  <c r="AA242" i="3"/>
  <c r="J86" i="3"/>
  <c r="K7" i="3"/>
  <c r="K86" i="3"/>
  <c r="B237" i="3"/>
  <c r="C237" i="3"/>
  <c r="K6" i="3" s="1"/>
  <c r="G7" i="3"/>
  <c r="V242" i="3"/>
  <c r="C86" i="3"/>
  <c r="C7" i="3"/>
  <c r="AI83" i="3"/>
  <c r="B85" i="3"/>
  <c r="AH85" i="3" s="1"/>
  <c r="AH83" i="3"/>
  <c r="J225" i="3"/>
  <c r="K225" i="3" s="1"/>
  <c r="L225" i="3" s="1"/>
  <c r="M225" i="3" s="1"/>
  <c r="N225" i="3" s="1"/>
  <c r="O225" i="3" s="1"/>
  <c r="P225" i="3" s="1"/>
  <c r="I222" i="3"/>
  <c r="D263" i="3"/>
  <c r="F227" i="3"/>
  <c r="E104" i="3"/>
  <c r="AF7" i="1"/>
  <c r="AF86" i="1"/>
  <c r="AE86" i="1"/>
  <c r="AW242" i="1"/>
  <c r="AD86" i="1"/>
  <c r="AU242" i="1"/>
  <c r="AV242" i="1"/>
  <c r="AC7" i="1"/>
  <c r="AB7" i="1"/>
  <c r="AI83" i="1"/>
  <c r="AH83" i="1"/>
  <c r="AI94" i="1"/>
  <c r="B86" i="1"/>
  <c r="T242" i="1"/>
  <c r="AI85" i="1"/>
  <c r="B7" i="1"/>
  <c r="AH85" i="1"/>
  <c r="Y86" i="1"/>
  <c r="AQ242" i="1"/>
  <c r="Y7" i="1"/>
  <c r="Q86" i="1"/>
  <c r="AI242" i="1"/>
  <c r="Q7" i="1"/>
  <c r="G263" i="1" l="1"/>
  <c r="I227" i="1"/>
  <c r="B7" i="3"/>
  <c r="A7" i="3" s="1"/>
  <c r="G222" i="1"/>
  <c r="F228" i="1"/>
  <c r="F104" i="1"/>
  <c r="B86" i="3"/>
  <c r="AI85" i="3"/>
  <c r="T242" i="3"/>
  <c r="G227" i="3"/>
  <c r="E263" i="3"/>
  <c r="F104" i="3"/>
  <c r="J222" i="3"/>
  <c r="F228" i="3"/>
  <c r="AI86" i="3"/>
  <c r="AH86" i="3"/>
  <c r="AI86" i="1"/>
  <c r="AH86" i="1"/>
  <c r="A7" i="1"/>
  <c r="H222" i="1" l="1"/>
  <c r="G228" i="1"/>
  <c r="G104" i="1"/>
  <c r="J227" i="1"/>
  <c r="H263" i="1"/>
  <c r="K222" i="3"/>
  <c r="F263" i="3"/>
  <c r="H227" i="3"/>
  <c r="G104" i="3"/>
  <c r="G228" i="3"/>
  <c r="I263" i="1" l="1"/>
  <c r="K227" i="1"/>
  <c r="I222" i="1"/>
  <c r="H228" i="1"/>
  <c r="H104" i="1"/>
  <c r="G263" i="3"/>
  <c r="I227" i="3"/>
  <c r="H228" i="3"/>
  <c r="H104" i="3"/>
  <c r="L222" i="3"/>
  <c r="I104" i="1" l="1"/>
  <c r="J222" i="1"/>
  <c r="L227" i="1"/>
  <c r="J263" i="1"/>
  <c r="M222" i="3"/>
  <c r="H263" i="3"/>
  <c r="J227" i="3"/>
  <c r="I104" i="3"/>
  <c r="K263" i="1" l="1"/>
  <c r="M227" i="1"/>
  <c r="K222" i="1"/>
  <c r="J104" i="1"/>
  <c r="K227" i="3"/>
  <c r="I263" i="3"/>
  <c r="J104" i="3"/>
  <c r="N222" i="3"/>
  <c r="K104" i="1" l="1"/>
  <c r="L222" i="1"/>
  <c r="L263" i="1"/>
  <c r="N227" i="1"/>
  <c r="O222" i="3"/>
  <c r="J263" i="3"/>
  <c r="L227" i="3"/>
  <c r="K104" i="3"/>
  <c r="M263" i="1" l="1"/>
  <c r="O227" i="1"/>
  <c r="M222" i="1"/>
  <c r="L104" i="1"/>
  <c r="K263" i="3"/>
  <c r="M227" i="3"/>
  <c r="L104" i="3"/>
  <c r="P222" i="3"/>
  <c r="N222" i="1" l="1"/>
  <c r="M104" i="1"/>
  <c r="P227" i="1"/>
  <c r="O263" i="1" s="1"/>
  <c r="N263" i="1"/>
  <c r="L263" i="3"/>
  <c r="N227" i="3"/>
  <c r="M104" i="3"/>
  <c r="N104" i="1" l="1"/>
  <c r="O222" i="1"/>
  <c r="O227" i="3"/>
  <c r="M263" i="3"/>
  <c r="N104" i="3"/>
  <c r="O104" i="1" l="1"/>
  <c r="AI104" i="1" s="1"/>
  <c r="P222" i="1"/>
  <c r="AH104" i="1"/>
  <c r="N263" i="3"/>
  <c r="P227" i="3"/>
  <c r="O263" i="3" s="1"/>
  <c r="O104" i="3"/>
  <c r="AI104" i="3" l="1"/>
  <c r="AH104" i="3"/>
  <c r="P228" i="10" l="1"/>
  <c r="P224" i="10"/>
  <c r="P228" i="7"/>
  <c r="P224" i="7"/>
  <c r="P228" i="13"/>
  <c r="P224" i="13"/>
  <c r="P232" i="31"/>
  <c r="P228" i="31"/>
  <c r="N232" i="22"/>
  <c r="J232" i="20"/>
  <c r="L232" i="21"/>
  <c r="K228" i="9"/>
  <c r="J232" i="24"/>
  <c r="O232" i="28"/>
  <c r="K228" i="3"/>
  <c r="J228" i="3"/>
  <c r="P232" i="15"/>
  <c r="P228" i="15"/>
  <c r="P232" i="22"/>
  <c r="P228" i="22"/>
  <c r="P232" i="21"/>
  <c r="P228" i="21"/>
  <c r="K228" i="10"/>
  <c r="N228" i="3"/>
  <c r="P232" i="26"/>
  <c r="P228" i="26"/>
  <c r="J232" i="33"/>
  <c r="M232" i="21"/>
  <c r="M232" i="20"/>
  <c r="P228" i="4"/>
  <c r="P224" i="4"/>
  <c r="K232" i="21"/>
  <c r="J232" i="26"/>
  <c r="O224" i="10"/>
  <c r="O228" i="10"/>
  <c r="K232" i="22"/>
  <c r="P232" i="16"/>
  <c r="P228" i="16"/>
  <c r="O228" i="31"/>
  <c r="O232" i="31"/>
  <c r="M232" i="22"/>
  <c r="L232" i="17"/>
  <c r="P232" i="23"/>
  <c r="P228" i="23"/>
  <c r="L232" i="27"/>
  <c r="O224" i="7"/>
  <c r="O228" i="7"/>
  <c r="P228" i="12"/>
  <c r="P224" i="12"/>
  <c r="P232" i="17"/>
  <c r="P228" i="17"/>
  <c r="J228" i="11"/>
  <c r="L232" i="30"/>
  <c r="L228" i="12"/>
  <c r="N232" i="24"/>
  <c r="O228" i="8"/>
  <c r="P228" i="6"/>
  <c r="P224" i="6"/>
  <c r="O228" i="28"/>
  <c r="P228" i="28"/>
  <c r="P232" i="28"/>
  <c r="L232" i="28"/>
  <c r="N232" i="29"/>
  <c r="M228" i="22"/>
  <c r="N228" i="22"/>
  <c r="O228" i="22"/>
  <c r="O232" i="22"/>
  <c r="M228" i="10"/>
  <c r="P228" i="3"/>
  <c r="P224" i="3"/>
  <c r="L228" i="8"/>
  <c r="J228" i="7"/>
  <c r="J232" i="30"/>
  <c r="M228" i="8"/>
  <c r="J232" i="22"/>
  <c r="K228" i="6"/>
  <c r="K232" i="15"/>
  <c r="O232" i="32"/>
  <c r="M228" i="5"/>
  <c r="O232" i="34"/>
  <c r="K232" i="20"/>
  <c r="K232" i="27"/>
  <c r="J228" i="1"/>
  <c r="K228" i="14"/>
  <c r="M228" i="7"/>
  <c r="N228" i="31"/>
  <c r="N232" i="31"/>
  <c r="P228" i="11"/>
  <c r="P224" i="11"/>
  <c r="O224" i="12"/>
  <c r="O228" i="12"/>
  <c r="P232" i="20"/>
  <c r="P228" i="20"/>
  <c r="P228" i="5"/>
  <c r="P224" i="5"/>
  <c r="L232" i="20"/>
  <c r="N232" i="15"/>
  <c r="J228" i="14"/>
  <c r="P232" i="27"/>
  <c r="P228" i="27"/>
  <c r="N232" i="25"/>
  <c r="N228" i="4"/>
  <c r="L232" i="34"/>
  <c r="M232" i="32"/>
  <c r="J228" i="12"/>
  <c r="J232" i="15"/>
  <c r="N232" i="16"/>
  <c r="J228" i="6"/>
  <c r="M232" i="25"/>
  <c r="O228" i="32"/>
  <c r="P228" i="32"/>
  <c r="P232" i="32"/>
  <c r="M228" i="31"/>
  <c r="M232" i="31"/>
  <c r="N232" i="34"/>
  <c r="N228" i="34"/>
  <c r="O228" i="34"/>
  <c r="P228" i="34"/>
  <c r="P232" i="34"/>
  <c r="N228" i="16"/>
  <c r="O228" i="16"/>
  <c r="O232" i="16"/>
  <c r="L232" i="29"/>
  <c r="N232" i="23"/>
  <c r="K228" i="13"/>
  <c r="L228" i="7"/>
  <c r="N232" i="27"/>
  <c r="P228" i="14"/>
  <c r="P224" i="14"/>
  <c r="N228" i="23"/>
  <c r="O228" i="23"/>
  <c r="O232" i="23"/>
  <c r="L228" i="13"/>
  <c r="O224" i="11"/>
  <c r="O228" i="11"/>
  <c r="N228" i="13"/>
  <c r="J232" i="17"/>
  <c r="O224" i="5"/>
  <c r="O228" i="5"/>
  <c r="O228" i="20"/>
  <c r="O232" i="20"/>
  <c r="P228" i="1"/>
  <c r="P224" i="1"/>
  <c r="P228" i="9"/>
  <c r="P224" i="9"/>
  <c r="N232" i="26"/>
  <c r="M228" i="1"/>
  <c r="O232" i="33"/>
  <c r="L232" i="25"/>
  <c r="K228" i="5"/>
  <c r="J228" i="13"/>
  <c r="N232" i="30"/>
  <c r="L232" i="26"/>
  <c r="M232" i="15"/>
  <c r="K232" i="29"/>
  <c r="M228" i="23"/>
  <c r="M232" i="23"/>
  <c r="L228" i="31"/>
  <c r="L232" i="31"/>
  <c r="M232" i="27"/>
  <c r="L232" i="15"/>
  <c r="I232" i="22"/>
  <c r="I228" i="22"/>
  <c r="J228" i="22"/>
  <c r="K228" i="22"/>
  <c r="L228" i="22"/>
  <c r="L232" i="22"/>
  <c r="O232" i="30"/>
  <c r="N224" i="11"/>
  <c r="N228" i="11"/>
  <c r="P232" i="24"/>
  <c r="P228" i="24"/>
  <c r="I232" i="20"/>
  <c r="I228" i="20"/>
  <c r="J228" i="20"/>
  <c r="K228" i="20"/>
  <c r="L228" i="20"/>
  <c r="M228" i="20"/>
  <c r="N228" i="20"/>
  <c r="N232" i="20"/>
  <c r="M224" i="5"/>
  <c r="N224" i="5"/>
  <c r="N228" i="5"/>
  <c r="O224" i="9"/>
  <c r="O228" i="9"/>
  <c r="P232" i="29"/>
  <c r="P228" i="29"/>
  <c r="O228" i="33"/>
  <c r="P228" i="33"/>
  <c r="P232" i="33"/>
  <c r="I232" i="15"/>
  <c r="I228" i="15"/>
  <c r="J228" i="15"/>
  <c r="K228" i="15"/>
  <c r="L228" i="15"/>
  <c r="M228" i="15"/>
  <c r="N228" i="15"/>
  <c r="O228" i="15"/>
  <c r="O232" i="15"/>
  <c r="L224" i="7"/>
  <c r="M224" i="7"/>
  <c r="N224" i="7"/>
  <c r="N228" i="7"/>
  <c r="O232" i="25"/>
  <c r="O228" i="17"/>
  <c r="O232" i="17"/>
  <c r="J228" i="10"/>
  <c r="M228" i="3"/>
  <c r="M232" i="24"/>
  <c r="J232" i="28"/>
  <c r="L232" i="16"/>
  <c r="K232" i="25"/>
  <c r="M232" i="30"/>
  <c r="M232" i="26"/>
  <c r="N228" i="6"/>
  <c r="L228" i="16"/>
  <c r="M228" i="16"/>
  <c r="M232" i="16"/>
  <c r="L228" i="11"/>
  <c r="M228" i="4"/>
  <c r="O228" i="21"/>
  <c r="O232" i="21"/>
  <c r="K232" i="34"/>
  <c r="K224" i="5"/>
  <c r="L224" i="5"/>
  <c r="L228" i="5"/>
  <c r="K232" i="30"/>
  <c r="L224" i="11"/>
  <c r="M224" i="11"/>
  <c r="M228" i="11"/>
  <c r="I232" i="30"/>
  <c r="I228" i="30"/>
  <c r="J228" i="30"/>
  <c r="K228" i="30"/>
  <c r="L228" i="30"/>
  <c r="M228" i="30"/>
  <c r="N228" i="30"/>
  <c r="O228" i="30"/>
  <c r="P228" i="30"/>
  <c r="P232" i="30"/>
  <c r="K232" i="24"/>
  <c r="I228" i="5"/>
  <c r="I224" i="5"/>
  <c r="J224" i="5"/>
  <c r="J228" i="5"/>
  <c r="N224" i="12"/>
  <c r="N228" i="12"/>
  <c r="K228" i="34"/>
  <c r="L228" i="34"/>
  <c r="M228" i="34"/>
  <c r="M232" i="34"/>
  <c r="M232" i="29"/>
  <c r="L228" i="10"/>
  <c r="N224" i="9"/>
  <c r="N228" i="9"/>
  <c r="N228" i="1"/>
  <c r="J232" i="23"/>
  <c r="N228" i="14"/>
  <c r="M224" i="1"/>
  <c r="N224" i="1"/>
  <c r="O224" i="1"/>
  <c r="O228" i="1"/>
  <c r="L228" i="9"/>
  <c r="K228" i="25"/>
  <c r="L228" i="25"/>
  <c r="M228" i="25"/>
  <c r="N228" i="25"/>
  <c r="O228" i="25"/>
  <c r="P228" i="25"/>
  <c r="P232" i="25"/>
  <c r="L232" i="32"/>
  <c r="J232" i="16"/>
  <c r="K228" i="4"/>
  <c r="K232" i="32"/>
  <c r="L228" i="23"/>
  <c r="L232" i="23"/>
  <c r="J232" i="21"/>
  <c r="N228" i="17"/>
  <c r="N232" i="17"/>
  <c r="L232" i="33"/>
  <c r="J228" i="8"/>
  <c r="L224" i="1"/>
  <c r="L228" i="1"/>
  <c r="N228" i="33"/>
  <c r="N232" i="33"/>
  <c r="K228" i="31"/>
  <c r="K232" i="31"/>
  <c r="K228" i="12"/>
  <c r="J232" i="32"/>
  <c r="L228" i="3"/>
  <c r="L232" i="24"/>
  <c r="L228" i="17"/>
  <c r="M228" i="17"/>
  <c r="M232" i="17"/>
  <c r="O224" i="8"/>
  <c r="P224" i="8"/>
  <c r="P228" i="8"/>
  <c r="K232" i="33"/>
  <c r="I232" i="32"/>
  <c r="I228" i="32"/>
  <c r="J228" i="32"/>
  <c r="K228" i="32"/>
  <c r="L228" i="32"/>
  <c r="M228" i="32"/>
  <c r="N228" i="32"/>
  <c r="N232" i="32"/>
  <c r="I232" i="17"/>
  <c r="I228" i="17"/>
  <c r="J228" i="17"/>
  <c r="K228" i="17"/>
  <c r="K232" i="17"/>
  <c r="L224" i="8"/>
  <c r="M224" i="8"/>
  <c r="N224" i="8"/>
  <c r="N228" i="8"/>
  <c r="I228" i="1"/>
  <c r="I224" i="1"/>
  <c r="J224" i="1"/>
  <c r="K224" i="1"/>
  <c r="K228" i="1"/>
  <c r="I232" i="33"/>
  <c r="I228" i="33"/>
  <c r="J228" i="33"/>
  <c r="K228" i="33"/>
  <c r="L228" i="33"/>
  <c r="M228" i="33"/>
  <c r="M232" i="33"/>
  <c r="M228" i="13"/>
  <c r="I228" i="3"/>
  <c r="I224" i="3"/>
  <c r="J224" i="3"/>
  <c r="K224" i="3"/>
  <c r="L224" i="3"/>
  <c r="M224" i="3"/>
  <c r="N224" i="3"/>
  <c r="O224" i="3"/>
  <c r="O228" i="3"/>
  <c r="I232" i="16"/>
  <c r="I228" i="16"/>
  <c r="J228" i="16"/>
  <c r="K228" i="16"/>
  <c r="K232" i="16"/>
  <c r="M228" i="6"/>
  <c r="I232" i="31"/>
  <c r="I228" i="31"/>
  <c r="J228" i="31"/>
  <c r="J232" i="31"/>
  <c r="L228" i="4"/>
  <c r="I232" i="24"/>
  <c r="I228" i="24"/>
  <c r="J228" i="24"/>
  <c r="K228" i="24"/>
  <c r="L228" i="24"/>
  <c r="M228" i="24"/>
  <c r="N228" i="24"/>
  <c r="O228" i="24"/>
  <c r="O232" i="24"/>
  <c r="I228" i="10"/>
  <c r="I224" i="10"/>
  <c r="J224" i="10"/>
  <c r="K224" i="10"/>
  <c r="L224" i="10"/>
  <c r="M224" i="10"/>
  <c r="N224" i="10"/>
  <c r="N228" i="10"/>
  <c r="I232" i="23"/>
  <c r="I228" i="23"/>
  <c r="J228" i="23"/>
  <c r="K228" i="23"/>
  <c r="K232" i="23"/>
  <c r="K232" i="28"/>
  <c r="L228" i="6"/>
  <c r="I228" i="11"/>
  <c r="I224" i="11"/>
  <c r="J224" i="11"/>
  <c r="K224" i="11"/>
  <c r="K228" i="11"/>
  <c r="K228" i="27"/>
  <c r="L228" i="27"/>
  <c r="M228" i="27"/>
  <c r="N228" i="27"/>
  <c r="O228" i="27"/>
  <c r="O232" i="27"/>
  <c r="I232" i="21"/>
  <c r="I228" i="21"/>
  <c r="J228" i="21"/>
  <c r="K228" i="21"/>
  <c r="L228" i="21"/>
  <c r="M228" i="21"/>
  <c r="N228" i="21"/>
  <c r="N232" i="21"/>
  <c r="M232" i="28"/>
  <c r="L228" i="26"/>
  <c r="M228" i="26"/>
  <c r="N228" i="26"/>
  <c r="O228" i="26"/>
  <c r="O232" i="26"/>
  <c r="M228" i="14"/>
  <c r="I228" i="6"/>
  <c r="I224" i="6"/>
  <c r="J224" i="6"/>
  <c r="K224" i="6"/>
  <c r="L224" i="6"/>
  <c r="M224" i="6"/>
  <c r="N224" i="6"/>
  <c r="O224" i="6"/>
  <c r="O228" i="6"/>
  <c r="I232" i="26"/>
  <c r="I228" i="26"/>
  <c r="J228" i="26"/>
  <c r="K228" i="26"/>
  <c r="K232" i="26"/>
  <c r="K224" i="9"/>
  <c r="L224" i="9"/>
  <c r="M224" i="9"/>
  <c r="M228" i="9"/>
  <c r="M224" i="14"/>
  <c r="N224" i="14"/>
  <c r="O224" i="14"/>
  <c r="O228" i="14"/>
  <c r="I228" i="7"/>
  <c r="I224" i="7"/>
  <c r="J224" i="7"/>
  <c r="K224" i="7"/>
  <c r="K228" i="7"/>
  <c r="I228" i="12"/>
  <c r="I224" i="12"/>
  <c r="J224" i="12"/>
  <c r="K224" i="12"/>
  <c r="L224" i="12"/>
  <c r="M224" i="12"/>
  <c r="M228" i="12"/>
  <c r="I228" i="14"/>
  <c r="I224" i="14"/>
  <c r="J224" i="14"/>
  <c r="K224" i="14"/>
  <c r="L224" i="14"/>
  <c r="L228" i="14"/>
  <c r="K228" i="29"/>
  <c r="L228" i="29"/>
  <c r="M228" i="29"/>
  <c r="N228" i="29"/>
  <c r="O228" i="29"/>
  <c r="O232" i="29"/>
  <c r="I232" i="34"/>
  <c r="I228" i="34"/>
  <c r="J228" i="34"/>
  <c r="J232" i="34"/>
  <c r="I232" i="29"/>
  <c r="I228" i="29"/>
  <c r="J228" i="29"/>
  <c r="J232" i="29"/>
  <c r="I232" i="27"/>
  <c r="I228" i="27"/>
  <c r="J228" i="27"/>
  <c r="J232" i="27"/>
  <c r="I228" i="13"/>
  <c r="I224" i="13"/>
  <c r="J224" i="13"/>
  <c r="K224" i="13"/>
  <c r="L224" i="13"/>
  <c r="M224" i="13"/>
  <c r="N224" i="13"/>
  <c r="O224" i="13"/>
  <c r="O228" i="13"/>
  <c r="J228" i="4"/>
  <c r="I228" i="4"/>
  <c r="I224" i="4"/>
  <c r="J224" i="4"/>
  <c r="K224" i="4"/>
  <c r="L224" i="4"/>
  <c r="M224" i="4"/>
  <c r="N224" i="4"/>
  <c r="O224" i="4"/>
  <c r="O228" i="4"/>
  <c r="I232" i="28"/>
  <c r="I228" i="28"/>
  <c r="J228" i="28"/>
  <c r="K228" i="28"/>
  <c r="L228" i="28"/>
  <c r="M228" i="28"/>
  <c r="N228" i="28"/>
  <c r="N232" i="28"/>
  <c r="I228" i="8"/>
  <c r="I224" i="8"/>
  <c r="J224" i="8"/>
  <c r="K224" i="8"/>
  <c r="K228" i="8"/>
  <c r="I228" i="9"/>
  <c r="I224" i="9"/>
  <c r="J224" i="9"/>
  <c r="J228" i="9"/>
  <c r="I232" i="25"/>
  <c r="I228" i="25"/>
  <c r="J228" i="25"/>
  <c r="J232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<sst xmlns="http://schemas.openxmlformats.org/spreadsheetml/2006/main" count="8238" uniqueCount="263">
  <si>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</si>
  <si>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</si>
  <si>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</si>
  <si>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</si>
  <si>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</si>
  <si>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</si>
  <si>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</si>
  <si>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</si>
  <si>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</si>
  <si>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</si>
  <si>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</si>
  <si>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</si>
  <si>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</si>
  <si>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</si>
  <si>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</si>
  <si>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</si>
  <si>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</si>
  <si>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</si>
  <si>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</si>
  <si>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</si>
  <si>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</si>
  <si>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</si>
  <si>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</si>
  <si>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</si>
  <si>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</si>
  <si>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</si>
  <si>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</si>
  <si>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</si>
  <si>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</si>
  <si>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</si>
  <si>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</si>
  <si>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</si>
  <si>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</si>
  <si>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</si>
  <si>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</si>
  <si>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</si>
  <si>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</si>
  <si>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</si>
  <si>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</si>
  <si>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</si>
  <si>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</si>
  <si>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</si>
  <si>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</si>
  <si>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</si>
  <si>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</si>
  <si>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</si>
  <si>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</si>
  <si>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</si>
  <si>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</si>
  <si>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</si>
  <si>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</si>
  <si>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</si>
  <si>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</si>
  <si>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</si>
  <si>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</si>
  <si>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</si>
  <si>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</si>
  <si>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</si>
  <si>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</si>
  <si>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</si>
  <si>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</si>
  <si>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</si>
  <si>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</si>
  <si>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</si>
  <si>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</si>
  <si>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</si>
  <si>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</si>
  <si>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</si>
  <si>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</si>
  <si>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</si>
  <si>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</si>
  <si>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</si>
  <si>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</si>
  <si>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</si>
  <si>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</si>
  <si>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</si>
  <si>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</si>
  <si>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</si>
  <si>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</si>
  <si>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</si>
  <si>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</si>
  <si>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</si>
  <si>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</si>
  <si>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</si>
  <si>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</si>
  <si>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</si>
  <si>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</si>
  <si>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</si>
  <si>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</si>
  <si>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</si>
  <si>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</si>
  <si>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</si>
  <si>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</si>
  <si>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</si>
  <si>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</si>
  <si>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</si>
  <si>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</si>
  <si>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</si>
  <si>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</si>
  <si>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</si>
  <si>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</si>
  <si>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</si>
  <si>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</si>
  <si>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</si>
  <si>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</si>
  <si>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</si>
  <si>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</si>
  <si>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</si>
  <si>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</si>
  <si>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</si>
  <si>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</si>
  <si>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</si>
  <si>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</si>
  <si>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</si>
  <si>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</si>
  <si>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</si>
  <si>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</si>
  <si>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</si>
  <si>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</si>
  <si>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</si>
  <si>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</si>
  <si>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</si>
  <si>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</si>
  <si>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</si>
  <si>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</si>
  <si>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</si>
  <si>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</si>
  <si>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</si>
  <si>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</si>
  <si>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</si>
  <si>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</si>
  <si>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</si>
  <si>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</si>
  <si>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</si>
  <si>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</si>
  <si>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</si>
  <si>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</si>
  <si>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</si>
  <si>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</si>
  <si>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</si>
  <si>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</si>
  <si>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</si>
  <si>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</si>
  <si>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</si>
  <si>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</si>
  <si>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</si>
  <si>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</si>
  <si>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</si>
  <si>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</si>
  <si>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</si>
  <si>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</si>
  <si>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</si>
  <si>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</si>
  <si>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</si>
  <si>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</si>
  <si>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</si>
  <si>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</si>
  <si>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</si>
  <si>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</si>
  <si>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</si>
  <si>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</si>
  <si>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</si>
  <si>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</si>
  <si>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</si>
  <si>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</si>
  <si>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</si>
  <si>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</si>
  <si>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</si>
  <si>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</si>
  <si>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</si>
  <si>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</si>
  <si>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</si>
  <si>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</si>
  <si>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</si>
  <si>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</si>
  <si>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</si>
  <si>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</si>
  <si>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</si>
  <si>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</si>
  <si>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</si>
  <si>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</si>
  <si>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</si>
  <si>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</si>
  <si>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</si>
  <si>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</si>
  <si>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</si>
  <si>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</si>
  <si>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</si>
  <si>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</si>
  <si>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</si>
  <si>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</si>
  <si>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</si>
  <si>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</si>
  <si>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</si>
  <si>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</si>
  <si>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</si>
  <si>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</si>
  <si>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</si>
  <si>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</si>
  <si>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</si>
  <si>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</si>
  <si>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</si>
  <si>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</si>
  <si>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</si>
  <si>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</si>
  <si>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</si>
  <si>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</si>
  <si>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</si>
  <si>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</si>
  <si>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</si>
  <si>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</si>
  <si>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</si>
  <si>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</si>
  <si>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</si>
  <si>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</si>
  <si>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</si>
  <si>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</si>
  <si>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</si>
  <si>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</si>
  <si>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</si>
  <si>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</si>
  <si>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</si>
  <si>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</si>
  <si>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</si>
  <si>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</si>
  <si>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</si>
  <si>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</si>
  <si>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</si>
  <si>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</si>
  <si>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</si>
  <si>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</si>
  <si>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</si>
  <si>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</si>
  <si>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</si>
  <si>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</si>
  <si>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</si>
  <si>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</si>
  <si>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</si>
  <si>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</si>
  <si>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</si>
  <si>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</si>
  <si>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</si>
  <si>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</si>
  <si>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</si>
  <si>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</si>
  <si>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</si>
  <si>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</si>
  <si>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</si>
  <si>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</si>
  <si>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</si>
  <si>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</si>
  <si>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</t>
  </si>
  <si>
    <t>PN</t>
  </si>
  <si>
    <t>16..5</t>
  </si>
  <si>
    <t>49.9.3</t>
  </si>
  <si>
    <t>Solu Khola Dudhkoshi(86)</t>
  </si>
  <si>
    <t>Upper Kalanga Gad(38.46)</t>
  </si>
  <si>
    <t>Kalanga Gad(15.33)</t>
  </si>
  <si>
    <t>Makari Gad(10.0)</t>
  </si>
  <si>
    <t>MMRS(70)</t>
  </si>
  <si>
    <t>MRS(70)</t>
  </si>
  <si>
    <t>-</t>
  </si>
  <si>
    <t>65..8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</si>
</sst>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3" fillId="0" borderId="0"/>
    <xf numFmtId="0" fontId="33" fillId="0" borderId="0"/>
    <xf numFmtId="164" fontId="34" fillId="0" borderId="0"/>
    <xf numFmtId="164" fontId="34" fillId="0" borderId="0"/>
    <xf numFmtId="0" fontId="34" fillId="0" borderId="0"/>
    <xf numFmtId="0" fontId="35" fillId="0" borderId="0"/>
    <xf numFmtId="164" fontId="1" fillId="0" borderId="0"/>
    <xf numFmtId="0" fontId="35" fillId="0" borderId="0"/>
    <xf numFmtId="0" fontId="33" fillId="0" borderId="0"/>
    <xf numFmtId="0" fontId="34" fillId="0" borderId="0"/>
  </cellStyleXfs>
  <cellXfs count="220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40" xfId="2" applyNumberFormat="1" applyFont="1" applyBorder="1" applyAlignment="1">
      <alignment horizontal="center" vertical="center"/>
    </xf>
    <xf numFmtId="169" fontId="28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0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5" borderId="0" xfId="2" applyFont="1" applyFill="1"/>
    <xf numFmtId="164" fontId="1" fillId="16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4" fontId="0" fillId="0" borderId="58" xfId="2" applyFont="1" applyBorder="1" applyAlignment="1">
      <alignment horizontal="center"/>
    </xf>
    <xf numFmtId="166" fontId="36" fillId="17" borderId="2" xfId="0" applyNumberFormat="1" applyFont="1" applyFill="1" applyBorder="1" applyAlignment="1">
      <alignment horizontal="center" vertical="top" wrapText="1"/>
    </xf>
    <xf numFmtId="166" fontId="36" fillId="17" borderId="6" xfId="0" applyNumberFormat="1" applyFont="1" applyFill="1" applyBorder="1" applyAlignment="1">
      <alignment horizontal="center" vertical="top" wrapText="1"/>
    </xf>
    <xf numFmtId="166" fontId="36" fillId="17" borderId="6" xfId="0" applyNumberFormat="1" applyFont="1" applyFill="1" applyBorder="1" applyAlignment="1" applyProtection="1">
      <alignment horizontal="center" vertical="top" wrapText="1"/>
      <protection locked="0"/>
    </xf>
    <xf numFmtId="166" fontId="36" fillId="17" borderId="37" xfId="0" applyNumberFormat="1" applyFont="1" applyFill="1" applyBorder="1" applyAlignment="1" applyProtection="1">
      <alignment horizontal="center" vertical="top" wrapText="1"/>
      <protection locked="0"/>
    </xf>
    <xf numFmtId="166" fontId="36" fillId="17" borderId="25" xfId="0" applyNumberFormat="1" applyFont="1" applyFill="1" applyBorder="1" applyAlignment="1" applyProtection="1">
      <alignment horizontal="center" vertical="top" wrapText="1"/>
      <protection locked="0"/>
    </xf>
    <xf numFmtId="166" fontId="37" fillId="17" borderId="37" xfId="0" applyNumberFormat="1" applyFont="1" applyFill="1" applyBorder="1" applyAlignment="1">
      <alignment horizontal="center" vertical="top" wrapText="1"/>
    </xf>
    <xf numFmtId="166" fontId="36" fillId="17" borderId="25" xfId="0" applyNumberFormat="1" applyFont="1" applyFill="1" applyBorder="1" applyAlignment="1">
      <alignment horizontal="center" vertical="top" wrapText="1"/>
    </xf>
    <xf numFmtId="166" fontId="36" fillId="17" borderId="37" xfId="0" applyNumberFormat="1" applyFont="1" applyFill="1" applyBorder="1" applyAlignment="1">
      <alignment horizontal="center" vertical="top" wrapText="1"/>
    </xf>
    <xf numFmtId="166" fontId="36" fillId="17" borderId="60" xfId="0" applyNumberFormat="1" applyFont="1" applyFill="1" applyBorder="1" applyAlignment="1" applyProtection="1">
      <alignment horizontal="center" vertical="top" wrapText="1"/>
      <protection locked="0"/>
    </xf>
    <xf numFmtId="166" fontId="36" fillId="17" borderId="51" xfId="0" applyNumberFormat="1" applyFont="1" applyFill="1" applyBorder="1" applyAlignment="1">
      <alignment horizontal="center" vertical="top" wrapText="1"/>
    </xf>
    <xf numFmtId="166" fontId="36" fillId="17" borderId="51" xfId="0" applyNumberFormat="1" applyFont="1" applyFill="1" applyBorder="1" applyAlignment="1" applyProtection="1">
      <alignment horizontal="center" vertical="top" wrapText="1"/>
      <protection locked="0"/>
    </xf>
    <xf numFmtId="166" fontId="36" fillId="17" borderId="56" xfId="0" applyNumberFormat="1" applyFont="1" applyFill="1" applyBorder="1" applyAlignment="1" applyProtection="1">
      <alignment horizontal="center" vertical="top" wrapText="1"/>
      <protection locked="0"/>
    </xf>
    <xf numFmtId="166" fontId="38" fillId="17" borderId="31" xfId="0" applyNumberFormat="1" applyFont="1" applyFill="1" applyBorder="1" applyAlignment="1">
      <alignment horizontal="center" vertical="top" wrapText="1"/>
    </xf>
    <xf numFmtId="0" fontId="36" fillId="17" borderId="60" xfId="0" applyFont="1" applyFill="1" applyBorder="1" applyAlignment="1">
      <alignment horizontal="center" vertical="top" wrapText="1"/>
    </xf>
    <xf numFmtId="166" fontId="36" fillId="17" borderId="56" xfId="0" applyNumberFormat="1" applyFont="1" applyFill="1" applyBorder="1" applyAlignment="1">
      <alignment horizontal="center" vertical="top" wrapText="1"/>
    </xf>
    <xf numFmtId="1" fontId="12" fillId="0" borderId="57" xfId="2" applyNumberFormat="1" applyFont="1" applyBorder="1" applyAlignment="1" applyProtection="1">
      <alignment horizontal="center"/>
      <protection locked="0"/>
    </xf>
    <xf numFmtId="164" fontId="39" fillId="12" borderId="38" xfId="2" applyFont="1" applyFill="1" applyBorder="1" applyAlignment="1">
      <alignment vertical="center" wrapText="1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1" fillId="14" borderId="0" xfId="2" applyFont="1" applyFill="1" applyAlignment="1">
      <alignment horizontal="center"/>
    </xf>
    <xf numFmtId="167" fontId="12" fillId="0" borderId="19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</cellXfs>
  <cellStyles count="1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_14" xfId="12" xr:uid="{00000000-0005-0000-0000-000006000000}"/>
    <cellStyle name="Normal 2 3" xfId="6" xr:uid="{00000000-0005-0000-0000-000007000000}"/>
    <cellStyle name="Normal 2 3 2" xfId="7" xr:uid="{00000000-0005-0000-0000-000008000000}"/>
    <cellStyle name="Normal 2 3 3" xfId="8" xr:uid="{00000000-0005-0000-0000-000009000000}"/>
    <cellStyle name="Normal 2 3_14" xfId="13" xr:uid="{00000000-0005-0000-0000-00000A000000}"/>
    <cellStyle name="Normal 2 4" xfId="9" xr:uid="{00000000-0005-0000-0000-00000B000000}"/>
    <cellStyle name="Normal 2 5" xfId="10" xr:uid="{00000000-0005-0000-0000-00000C000000}"/>
    <cellStyle name="Normal 2_14" xfId="11" xr:uid="{00000000-0005-0000-0000-00000D000000}"/>
  </cellStyles>
  <dxfs count="8980"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611072"/>
        <c:axId val="258870272"/>
      </c:lineChart>
      <c:catAx>
        <c:axId val="258611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70272"/>
        <c:crosses val="autoZero"/>
        <c:auto val="1"/>
        <c:lblAlgn val="ctr"/>
        <c:lblOffset val="100"/>
        <c:noMultiLvlLbl val="0"/>
      </c:catAx>
      <c:valAx>
        <c:axId val="258870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1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809664"/>
        <c:axId val="281812352"/>
      </c:lineChart>
      <c:catAx>
        <c:axId val="281809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12352"/>
        <c:crosses val="autoZero"/>
        <c:auto val="1"/>
        <c:lblAlgn val="ctr"/>
        <c:lblOffset val="100"/>
        <c:noMultiLvlLbl val="0"/>
      </c:catAx>
      <c:valAx>
        <c:axId val="281812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0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851584"/>
        <c:axId val="327557504"/>
      </c:lineChart>
      <c:catAx>
        <c:axId val="300851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57504"/>
        <c:crosses val="autoZero"/>
        <c:auto val="1"/>
        <c:lblAlgn val="ctr"/>
        <c:lblOffset val="100"/>
        <c:noMultiLvlLbl val="0"/>
      </c:catAx>
      <c:valAx>
        <c:axId val="327557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5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81408"/>
        <c:axId val="374407168"/>
      </c:lineChart>
      <c:catAx>
        <c:axId val="333681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07168"/>
        <c:crosses val="autoZero"/>
        <c:auto val="1"/>
        <c:lblAlgn val="ctr"/>
        <c:lblOffset val="100"/>
        <c:noMultiLvlLbl val="0"/>
      </c:catAx>
      <c:valAx>
        <c:axId val="374407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563392"/>
        <c:axId val="375565312"/>
      </c:lineChart>
      <c:catAx>
        <c:axId val="37556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65312"/>
        <c:crosses val="autoZero"/>
        <c:auto val="1"/>
        <c:lblAlgn val="ctr"/>
        <c:lblOffset val="100"/>
        <c:noMultiLvlLbl val="0"/>
      </c:catAx>
      <c:valAx>
        <c:axId val="37556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6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074432"/>
        <c:axId val="377076352"/>
      </c:lineChart>
      <c:catAx>
        <c:axId val="377074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76352"/>
        <c:crosses val="autoZero"/>
        <c:auto val="1"/>
        <c:lblAlgn val="ctr"/>
        <c:lblOffset val="100"/>
        <c:noMultiLvlLbl val="0"/>
      </c:catAx>
      <c:valAx>
        <c:axId val="377076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7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589440"/>
        <c:axId val="368595712"/>
      </c:lineChart>
      <c:catAx>
        <c:axId val="368589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95712"/>
        <c:crosses val="autoZero"/>
        <c:auto val="1"/>
        <c:lblAlgn val="ctr"/>
        <c:lblOffset val="100"/>
        <c:noMultiLvlLbl val="0"/>
      </c:catAx>
      <c:valAx>
        <c:axId val="368595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8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196160"/>
        <c:axId val="379198080"/>
      </c:lineChart>
      <c:catAx>
        <c:axId val="379196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8080"/>
        <c:crosses val="autoZero"/>
        <c:auto val="1"/>
        <c:lblAlgn val="ctr"/>
        <c:lblOffset val="100"/>
        <c:noMultiLvlLbl val="0"/>
      </c:catAx>
      <c:valAx>
        <c:axId val="379198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848576"/>
        <c:axId val="397850496"/>
      </c:lineChart>
      <c:catAx>
        <c:axId val="397848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50496"/>
        <c:crosses val="autoZero"/>
        <c:auto val="1"/>
        <c:lblAlgn val="ctr"/>
        <c:lblOffset val="100"/>
        <c:noMultiLvlLbl val="0"/>
      </c:catAx>
      <c:valAx>
        <c:axId val="39785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4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663680"/>
        <c:axId val="398665600"/>
      </c:lineChart>
      <c:catAx>
        <c:axId val="398663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65600"/>
        <c:crosses val="autoZero"/>
        <c:auto val="1"/>
        <c:lblAlgn val="ctr"/>
        <c:lblOffset val="100"/>
        <c:noMultiLvlLbl val="0"/>
      </c:catAx>
      <c:valAx>
        <c:axId val="398665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32352"/>
        <c:axId val="400134528"/>
      </c:lineChart>
      <c:catAx>
        <c:axId val="400132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34528"/>
        <c:crosses val="autoZero"/>
        <c:auto val="1"/>
        <c:lblAlgn val="ctr"/>
        <c:lblOffset val="100"/>
        <c:noMultiLvlLbl val="0"/>
      </c:catAx>
      <c:valAx>
        <c:axId val="400134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420096"/>
        <c:axId val="402422016"/>
      </c:lineChart>
      <c:catAx>
        <c:axId val="402420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22016"/>
        <c:crosses val="autoZero"/>
        <c:auto val="1"/>
        <c:lblAlgn val="ctr"/>
        <c:lblOffset val="100"/>
        <c:noMultiLvlLbl val="0"/>
      </c:catAx>
      <c:valAx>
        <c:axId val="402422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2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454016"/>
        <c:axId val="404456192"/>
      </c:lineChart>
      <c:catAx>
        <c:axId val="404454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56192"/>
        <c:crosses val="autoZero"/>
        <c:auto val="1"/>
        <c:lblAlgn val="ctr"/>
        <c:lblOffset val="100"/>
        <c:noMultiLvlLbl val="0"/>
      </c:catAx>
      <c:valAx>
        <c:axId val="40445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6464"/>
        <c:axId val="404928384"/>
      </c:lineChart>
      <c:catAx>
        <c:axId val="404926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8384"/>
        <c:crosses val="autoZero"/>
        <c:auto val="1"/>
        <c:lblAlgn val="ctr"/>
        <c:lblOffset val="100"/>
        <c:noMultiLvlLbl val="0"/>
      </c:catAx>
      <c:valAx>
        <c:axId val="40492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028224"/>
        <c:axId val="405054976"/>
      </c:lineChart>
      <c:catAx>
        <c:axId val="405028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54976"/>
        <c:crosses val="autoZero"/>
        <c:auto val="1"/>
        <c:lblAlgn val="ctr"/>
        <c:lblOffset val="100"/>
        <c:noMultiLvlLbl val="0"/>
      </c:catAx>
      <c:valAx>
        <c:axId val="405054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2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292352"/>
        <c:axId val="406298624"/>
      </c:lineChart>
      <c:catAx>
        <c:axId val="406292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98624"/>
        <c:crosses val="autoZero"/>
        <c:auto val="1"/>
        <c:lblAlgn val="ctr"/>
        <c:lblOffset val="100"/>
        <c:noMultiLvlLbl val="0"/>
      </c:catAx>
      <c:valAx>
        <c:axId val="406298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9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963328"/>
        <c:axId val="406965248"/>
      </c:lineChart>
      <c:catAx>
        <c:axId val="406963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5248"/>
        <c:crosses val="autoZero"/>
        <c:auto val="1"/>
        <c:lblAlgn val="ctr"/>
        <c:lblOffset val="100"/>
        <c:noMultiLvlLbl val="0"/>
      </c:catAx>
      <c:valAx>
        <c:axId val="406965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364416"/>
        <c:axId val="414366336"/>
      </c:lineChart>
      <c:catAx>
        <c:axId val="414364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66336"/>
        <c:crosses val="autoZero"/>
        <c:auto val="1"/>
        <c:lblAlgn val="ctr"/>
        <c:lblOffset val="100"/>
        <c:noMultiLvlLbl val="0"/>
      </c:catAx>
      <c:valAx>
        <c:axId val="41436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6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609088"/>
        <c:axId val="401611008"/>
      </c:lineChart>
      <c:catAx>
        <c:axId val="401609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11008"/>
        <c:crosses val="autoZero"/>
        <c:auto val="1"/>
        <c:lblAlgn val="ctr"/>
        <c:lblOffset val="100"/>
        <c:noMultiLvlLbl val="0"/>
      </c:catAx>
      <c:valAx>
        <c:axId val="401611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0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635520"/>
        <c:axId val="416645888"/>
      </c:lineChart>
      <c:catAx>
        <c:axId val="41663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45888"/>
        <c:crosses val="autoZero"/>
        <c:auto val="1"/>
        <c:lblAlgn val="ctr"/>
        <c:lblOffset val="100"/>
        <c:noMultiLvlLbl val="0"/>
      </c:catAx>
      <c:valAx>
        <c:axId val="416645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3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028544"/>
        <c:axId val="416034816"/>
      </c:lineChart>
      <c:catAx>
        <c:axId val="416028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34816"/>
        <c:crosses val="autoZero"/>
        <c:auto val="1"/>
        <c:lblAlgn val="ctr"/>
        <c:lblOffset val="100"/>
        <c:noMultiLvlLbl val="0"/>
      </c:catAx>
      <c:valAx>
        <c:axId val="416034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2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469568"/>
        <c:axId val="417471488"/>
      </c:lineChart>
      <c:catAx>
        <c:axId val="417469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71488"/>
        <c:crosses val="autoZero"/>
        <c:auto val="1"/>
        <c:lblAlgn val="ctr"/>
        <c:lblOffset val="100"/>
        <c:noMultiLvlLbl val="0"/>
      </c:catAx>
      <c:valAx>
        <c:axId val="417471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613504"/>
        <c:axId val="418619776"/>
      </c:lineChart>
      <c:catAx>
        <c:axId val="41861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19776"/>
        <c:crosses val="autoZero"/>
        <c:auto val="1"/>
        <c:lblAlgn val="ctr"/>
        <c:lblOffset val="100"/>
        <c:noMultiLvlLbl val="0"/>
      </c:catAx>
      <c:valAx>
        <c:axId val="418619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1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455360"/>
        <c:axId val="419457280"/>
      </c:lineChart>
      <c:catAx>
        <c:axId val="41945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57280"/>
        <c:crosses val="autoZero"/>
        <c:auto val="1"/>
        <c:lblAlgn val="ctr"/>
        <c:lblOffset val="100"/>
        <c:noMultiLvlLbl val="0"/>
      </c:catAx>
      <c:valAx>
        <c:axId val="41945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5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47200"/>
        <c:axId val="420149120"/>
      </c:lineChart>
      <c:catAx>
        <c:axId val="420147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49120"/>
        <c:crosses val="autoZero"/>
        <c:auto val="1"/>
        <c:lblAlgn val="ctr"/>
        <c:lblOffset val="100"/>
        <c:noMultiLvlLbl val="0"/>
      </c:catAx>
      <c:valAx>
        <c:axId val="420149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802560"/>
        <c:axId val="420804480"/>
      </c:lineChart>
      <c:catAx>
        <c:axId val="420802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04480"/>
        <c:crosses val="autoZero"/>
        <c:auto val="1"/>
        <c:lblAlgn val="ctr"/>
        <c:lblOffset val="100"/>
        <c:noMultiLvlLbl val="0"/>
      </c:catAx>
      <c:valAx>
        <c:axId val="420804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860288"/>
        <c:axId val="420862208"/>
      </c:lineChart>
      <c:catAx>
        <c:axId val="42086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2208"/>
        <c:crosses val="autoZero"/>
        <c:auto val="1"/>
        <c:lblAlgn val="ctr"/>
        <c:lblOffset val="100"/>
        <c:noMultiLvlLbl val="0"/>
      </c:catAx>
      <c:valAx>
        <c:axId val="42086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440960"/>
        <c:axId val="422442880"/>
      </c:lineChart>
      <c:catAx>
        <c:axId val="422440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42880"/>
        <c:crosses val="autoZero"/>
        <c:auto val="1"/>
        <c:lblAlgn val="ctr"/>
        <c:lblOffset val="100"/>
        <c:noMultiLvlLbl val="0"/>
      </c:catAx>
      <c:valAx>
        <c:axId val="422442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97504"/>
        <c:axId val="420199424"/>
      </c:lineChart>
      <c:catAx>
        <c:axId val="420197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99424"/>
        <c:crosses val="autoZero"/>
        <c:auto val="1"/>
        <c:lblAlgn val="ctr"/>
        <c:lblOffset val="100"/>
        <c:noMultiLvlLbl val="0"/>
      </c:catAx>
      <c:valAx>
        <c:axId val="420199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9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079872"/>
        <c:axId val="460081792"/>
      </c:lineChart>
      <c:catAx>
        <c:axId val="460079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81792"/>
        <c:crosses val="autoZero"/>
        <c:auto val="1"/>
        <c:lblAlgn val="ctr"/>
        <c:lblOffset val="100"/>
        <c:noMultiLvlLbl val="0"/>
      </c:catAx>
      <c:valAx>
        <c:axId val="460081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38912"/>
        <c:axId val="460465664"/>
      </c:lineChart>
      <c:catAx>
        <c:axId val="460438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65664"/>
        <c:crosses val="autoZero"/>
        <c:auto val="1"/>
        <c:lblAlgn val="ctr"/>
        <c:lblOffset val="100"/>
        <c:noMultiLvlLbl val="0"/>
      </c:catAx>
      <c:valAx>
        <c:axId val="460465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3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4"/>
  <sheetViews>
    <sheetView zoomScaleNormal="100" workbookViewId="0">
      <pane ySplit="10" topLeftCell="A41" activePane="bottomLeft" state="frozen"/>
      <selection activeCell="U80" sqref="U80"/>
      <selection pane="bottomLeft" activeCell="P70" sqref="P7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</v>
      </c>
      <c r="C4" s="208"/>
      <c r="D4" s="208"/>
      <c r="E4" s="209" t="str">
        <f ca="1">"2079/"&amp;"11/"&amp;INT(MID(CELL("filename",G6),FIND("]",CELL("filename",G6))+1,200))</f>
        <v>2079/11/1</v>
      </c>
      <c r="F4" s="209"/>
      <c r="G4" s="209"/>
      <c r="H4" s="209" t="str">
        <f ca="1">TEXT(E4,"dddd")</f>
        <v>Wednesday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483</v>
      </c>
      <c r="C5" s="30">
        <f t="shared" si="0"/>
        <v>490</v>
      </c>
      <c r="D5" s="30">
        <f t="shared" si="0"/>
        <v>454.8</v>
      </c>
      <c r="E5" s="30">
        <f t="shared" si="0"/>
        <v>471.2</v>
      </c>
      <c r="F5" s="30">
        <f t="shared" si="0"/>
        <v>452</v>
      </c>
      <c r="G5" s="30">
        <f t="shared" si="0"/>
        <v>470.5</v>
      </c>
      <c r="H5" s="30">
        <f t="shared" si="0"/>
        <v>469.5</v>
      </c>
      <c r="I5" s="30">
        <f t="shared" si="0"/>
        <v>467</v>
      </c>
      <c r="J5" s="30">
        <f t="shared" si="0"/>
        <v>307</v>
      </c>
      <c r="K5" s="30">
        <f t="shared" si="0"/>
        <v>301</v>
      </c>
      <c r="L5" s="30">
        <f t="shared" si="0"/>
        <v>331.1</v>
      </c>
      <c r="M5" s="30">
        <f t="shared" si="0"/>
        <v>493</v>
      </c>
      <c r="N5" s="30">
        <f t="shared" si="0"/>
        <v>531.1</v>
      </c>
      <c r="O5" s="30">
        <f t="shared" si="0"/>
        <v>569.1</v>
      </c>
      <c r="P5" s="30">
        <f t="shared" si="0"/>
        <v>490.5</v>
      </c>
      <c r="Q5" s="30">
        <f t="shared" si="0"/>
        <v>475.90000000000003</v>
      </c>
      <c r="R5" s="30">
        <f t="shared" si="0"/>
        <v>505.5</v>
      </c>
      <c r="S5" s="30">
        <f t="shared" si="0"/>
        <v>499</v>
      </c>
      <c r="T5" s="30">
        <f t="shared" si="0"/>
        <v>503.7</v>
      </c>
      <c r="U5" s="30">
        <f t="shared" si="0"/>
        <v>472.8</v>
      </c>
      <c r="V5" s="30">
        <f t="shared" si="0"/>
        <v>476.2</v>
      </c>
      <c r="W5" s="30">
        <f t="shared" si="0"/>
        <v>451.3</v>
      </c>
      <c r="X5" s="30">
        <f t="shared" si="0"/>
        <v>487.1</v>
      </c>
      <c r="Y5" s="30">
        <f t="shared" si="0"/>
        <v>289.2</v>
      </c>
      <c r="Z5" s="30">
        <f t="shared" si="0"/>
        <v>290.20000000000005</v>
      </c>
      <c r="AA5" s="30">
        <f t="shared" si="0"/>
        <v>517.20000000000005</v>
      </c>
      <c r="AB5" s="30">
        <f t="shared" si="0"/>
        <v>518.6</v>
      </c>
      <c r="AC5" s="30">
        <f t="shared" si="0"/>
        <v>486</v>
      </c>
      <c r="AD5" s="30">
        <f t="shared" si="0"/>
        <v>494</v>
      </c>
      <c r="AE5" s="30">
        <f t="shared" si="0"/>
        <v>499</v>
      </c>
      <c r="AF5" s="30">
        <f>B78</f>
        <v>492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1460MW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Load=1013</v>
      </c>
      <c r="B7" s="35">
        <f t="shared" ref="B7:AF7" si="1">B85</f>
        <v>1061.24</v>
      </c>
      <c r="C7" s="35">
        <f t="shared" si="1"/>
        <v>1036.44</v>
      </c>
      <c r="D7" s="35">
        <f t="shared" si="1"/>
        <v>1052.74</v>
      </c>
      <c r="E7" s="35">
        <f t="shared" si="1"/>
        <v>1012.54</v>
      </c>
      <c r="F7" s="35">
        <f t="shared" si="1"/>
        <v>1055.94</v>
      </c>
      <c r="G7" s="35">
        <f t="shared" si="1"/>
        <v>1046.74</v>
      </c>
      <c r="H7" s="35">
        <f t="shared" si="1"/>
        <v>1155.24</v>
      </c>
      <c r="I7" s="35">
        <f t="shared" si="1"/>
        <v>1185.74</v>
      </c>
      <c r="J7" s="35">
        <f t="shared" si="1"/>
        <v>1283.74</v>
      </c>
      <c r="K7" s="35">
        <f t="shared" si="1"/>
        <v>1364.74</v>
      </c>
      <c r="L7" s="35">
        <f t="shared" si="1"/>
        <v>1412.74</v>
      </c>
      <c r="M7" s="35">
        <f t="shared" si="1"/>
        <v>1459.74</v>
      </c>
      <c r="N7" s="35">
        <f>N85</f>
        <v>1403.14</v>
      </c>
      <c r="O7" s="35">
        <f t="shared" si="1"/>
        <v>1349.2399999999998</v>
      </c>
      <c r="P7" s="35">
        <f t="shared" si="1"/>
        <v>1361.2399999999998</v>
      </c>
      <c r="Q7" s="35">
        <f t="shared" si="1"/>
        <v>1315.9399999999998</v>
      </c>
      <c r="R7" s="35">
        <f t="shared" si="1"/>
        <v>1299.71</v>
      </c>
      <c r="S7" s="35">
        <f t="shared" si="1"/>
        <v>1281.1399999999999</v>
      </c>
      <c r="T7" s="35">
        <f t="shared" si="1"/>
        <v>1354.84</v>
      </c>
      <c r="U7" s="35">
        <f t="shared" si="1"/>
        <v>1355.84</v>
      </c>
      <c r="V7" s="35">
        <f t="shared" si="1"/>
        <v>1319.54</v>
      </c>
      <c r="W7" s="35">
        <f t="shared" si="1"/>
        <v>1271.74</v>
      </c>
      <c r="X7" s="35">
        <f t="shared" si="1"/>
        <v>1321.94</v>
      </c>
      <c r="Y7" s="35">
        <f t="shared" si="1"/>
        <v>1651.44</v>
      </c>
      <c r="Z7" s="35">
        <f t="shared" si="1"/>
        <v>1571.64</v>
      </c>
      <c r="AA7" s="35">
        <f t="shared" si="1"/>
        <v>1507.44</v>
      </c>
      <c r="AB7" s="35">
        <f t="shared" si="1"/>
        <v>1413.14</v>
      </c>
      <c r="AC7" s="35">
        <f t="shared" si="1"/>
        <v>1318.6399999999999</v>
      </c>
      <c r="AD7" s="35">
        <f t="shared" si="1"/>
        <v>1208.04</v>
      </c>
      <c r="AE7" s="35">
        <f t="shared" si="1"/>
        <v>1204.54</v>
      </c>
      <c r="AF7" s="35">
        <f t="shared" si="1"/>
        <v>1112.04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17.8</v>
      </c>
      <c r="C11" s="45">
        <v>17</v>
      </c>
      <c r="D11" s="45">
        <v>16.3</v>
      </c>
      <c r="E11" s="45">
        <v>16.3</v>
      </c>
      <c r="F11" s="45">
        <v>16.3</v>
      </c>
      <c r="G11" s="45">
        <v>16.3</v>
      </c>
      <c r="H11" s="45">
        <v>16.3</v>
      </c>
      <c r="I11" s="45">
        <v>16.3</v>
      </c>
      <c r="J11" s="45">
        <v>16.3</v>
      </c>
      <c r="K11" s="45">
        <v>16.3</v>
      </c>
      <c r="L11" s="45">
        <v>16.3</v>
      </c>
      <c r="M11" s="45">
        <v>17</v>
      </c>
      <c r="N11" s="45">
        <v>17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17</v>
      </c>
      <c r="Y11" s="45">
        <v>17</v>
      </c>
      <c r="Z11" s="45">
        <v>17</v>
      </c>
      <c r="AA11" s="45">
        <v>17</v>
      </c>
      <c r="AB11" s="45">
        <v>17</v>
      </c>
      <c r="AC11" s="45">
        <v>16.7</v>
      </c>
      <c r="AD11" s="45">
        <v>16.7</v>
      </c>
      <c r="AE11" s="45">
        <v>16.7</v>
      </c>
      <c r="AF11" s="45">
        <v>16.2</v>
      </c>
      <c r="AG11" s="46">
        <v>52.4</v>
      </c>
      <c r="AH11" s="47">
        <f t="shared" ref="AH11:AH74" si="2">MAX(B11:AF11)</f>
        <v>17.8</v>
      </c>
      <c r="AI11" s="48">
        <f t="shared" ref="AI11:AI74" si="3">MIN(B11:AF11)</f>
        <v>16.2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31.5</v>
      </c>
      <c r="C12" s="45">
        <v>31.5</v>
      </c>
      <c r="D12" s="45">
        <v>31.5</v>
      </c>
      <c r="E12" s="45">
        <v>31.5</v>
      </c>
      <c r="F12" s="45">
        <v>31.5</v>
      </c>
      <c r="G12" s="45">
        <v>31.5</v>
      </c>
      <c r="H12" s="45">
        <v>31.5</v>
      </c>
      <c r="I12" s="45">
        <v>31.5</v>
      </c>
      <c r="J12" s="45">
        <v>31.5</v>
      </c>
      <c r="K12" s="45">
        <v>31.5</v>
      </c>
      <c r="L12" s="45">
        <v>31.5</v>
      </c>
      <c r="M12" s="45">
        <v>31.5</v>
      </c>
      <c r="N12" s="45">
        <v>31.5</v>
      </c>
      <c r="O12" s="45">
        <v>31.5</v>
      </c>
      <c r="P12" s="45">
        <v>31.5</v>
      </c>
      <c r="Q12" s="45">
        <v>31.5</v>
      </c>
      <c r="R12" s="45">
        <v>31.5</v>
      </c>
      <c r="S12" s="45">
        <v>31.5</v>
      </c>
      <c r="T12" s="45">
        <v>31.5</v>
      </c>
      <c r="U12" s="45">
        <v>31.5</v>
      </c>
      <c r="V12" s="45">
        <v>31.5</v>
      </c>
      <c r="W12" s="45">
        <v>31.5</v>
      </c>
      <c r="X12" s="45">
        <v>31.5</v>
      </c>
      <c r="Y12" s="45">
        <v>31.5</v>
      </c>
      <c r="Z12" s="45">
        <v>31.5</v>
      </c>
      <c r="AA12" s="45">
        <v>31.5</v>
      </c>
      <c r="AB12" s="45">
        <v>31.5</v>
      </c>
      <c r="AC12" s="45">
        <v>31.5</v>
      </c>
      <c r="AD12" s="45">
        <v>31.5</v>
      </c>
      <c r="AE12" s="45">
        <v>31.5</v>
      </c>
      <c r="AF12" s="45">
        <v>31.5</v>
      </c>
      <c r="AG12" s="50">
        <v>50</v>
      </c>
      <c r="AH12" s="47">
        <f t="shared" si="2"/>
        <v>31.5</v>
      </c>
      <c r="AI12" s="48">
        <f t="shared" si="3"/>
        <v>31.5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18.7</v>
      </c>
      <c r="AC13" s="45">
        <v>18.7</v>
      </c>
      <c r="AD13" s="45">
        <v>18.7</v>
      </c>
      <c r="AE13" s="45">
        <v>18.7</v>
      </c>
      <c r="AF13" s="45">
        <v>18.7</v>
      </c>
      <c r="AG13" s="50">
        <v>45</v>
      </c>
      <c r="AH13" s="47">
        <f t="shared" si="2"/>
        <v>19.100000000000001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</v>
      </c>
      <c r="C14" s="45">
        <v>8</v>
      </c>
      <c r="D14" s="45">
        <v>8</v>
      </c>
      <c r="E14" s="45">
        <v>8</v>
      </c>
      <c r="F14" s="45">
        <v>8</v>
      </c>
      <c r="G14" s="45">
        <v>8</v>
      </c>
      <c r="H14" s="45">
        <v>8</v>
      </c>
      <c r="I14" s="45">
        <v>8</v>
      </c>
      <c r="J14" s="45">
        <v>8</v>
      </c>
      <c r="K14" s="45">
        <v>8</v>
      </c>
      <c r="L14" s="45">
        <v>8</v>
      </c>
      <c r="M14" s="45">
        <v>8.5</v>
      </c>
      <c r="N14" s="45">
        <v>8.5</v>
      </c>
      <c r="O14" s="45">
        <v>8.5</v>
      </c>
      <c r="P14" s="45">
        <v>8.5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8.5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7.4</v>
      </c>
      <c r="C16" s="45">
        <v>7.4</v>
      </c>
      <c r="D16" s="45">
        <v>7.4</v>
      </c>
      <c r="E16" s="45">
        <v>7.4</v>
      </c>
      <c r="F16" s="45">
        <v>7.4</v>
      </c>
      <c r="G16" s="45">
        <v>7.4</v>
      </c>
      <c r="H16" s="45">
        <v>7.4</v>
      </c>
      <c r="I16" s="45">
        <v>7.4</v>
      </c>
      <c r="J16" s="45">
        <v>7.4</v>
      </c>
      <c r="K16" s="45">
        <v>7.4</v>
      </c>
      <c r="L16" s="45">
        <v>7.4</v>
      </c>
      <c r="M16" s="45">
        <v>7.3</v>
      </c>
      <c r="N16" s="45">
        <v>7.3</v>
      </c>
      <c r="O16" s="45">
        <v>7.3</v>
      </c>
      <c r="P16" s="45">
        <v>7.3</v>
      </c>
      <c r="Q16" s="45">
        <v>7.3</v>
      </c>
      <c r="R16" s="45">
        <v>7.3</v>
      </c>
      <c r="S16" s="45">
        <v>7.3</v>
      </c>
      <c r="T16" s="45">
        <v>7.3</v>
      </c>
      <c r="U16" s="45">
        <v>7.3</v>
      </c>
      <c r="V16" s="45">
        <v>7.3</v>
      </c>
      <c r="W16" s="45">
        <v>7.3</v>
      </c>
      <c r="X16" s="45">
        <v>7.3</v>
      </c>
      <c r="Y16" s="45">
        <v>7.3</v>
      </c>
      <c r="Z16" s="45">
        <v>7.3</v>
      </c>
      <c r="AA16" s="45">
        <v>7.3</v>
      </c>
      <c r="AB16" s="45">
        <v>7.3</v>
      </c>
      <c r="AC16" s="45">
        <v>7.3</v>
      </c>
      <c r="AD16" s="45">
        <v>7.3</v>
      </c>
      <c r="AE16" s="45">
        <v>7.3</v>
      </c>
      <c r="AF16" s="45">
        <v>7.3</v>
      </c>
      <c r="AG16" s="51">
        <v>30</v>
      </c>
      <c r="AH16" s="47">
        <f t="shared" si="2"/>
        <v>7.4</v>
      </c>
      <c r="AI16" s="48">
        <f t="shared" si="3"/>
        <v>7.3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6.6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7</v>
      </c>
      <c r="C20" s="45">
        <v>7</v>
      </c>
      <c r="D20" s="45">
        <v>7</v>
      </c>
      <c r="E20" s="45">
        <v>7</v>
      </c>
      <c r="F20" s="45">
        <v>7</v>
      </c>
      <c r="G20" s="45">
        <v>7</v>
      </c>
      <c r="H20" s="45">
        <v>7</v>
      </c>
      <c r="I20" s="45">
        <v>7</v>
      </c>
      <c r="J20" s="45">
        <v>7</v>
      </c>
      <c r="K20" s="45">
        <v>7</v>
      </c>
      <c r="L20" s="45">
        <v>7</v>
      </c>
      <c r="M20" s="45">
        <v>7</v>
      </c>
      <c r="N20" s="45">
        <v>7</v>
      </c>
      <c r="O20" s="45">
        <v>7</v>
      </c>
      <c r="P20" s="45">
        <v>7</v>
      </c>
      <c r="Q20" s="45">
        <v>7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45">
        <v>7</v>
      </c>
      <c r="Z20" s="45">
        <v>7</v>
      </c>
      <c r="AA20" s="45">
        <v>7</v>
      </c>
      <c r="AB20" s="45">
        <v>7</v>
      </c>
      <c r="AC20" s="45">
        <v>7</v>
      </c>
      <c r="AD20" s="45">
        <v>7</v>
      </c>
      <c r="AE20" s="45">
        <v>7</v>
      </c>
      <c r="AF20" s="45">
        <v>7</v>
      </c>
      <c r="AG20" s="50">
        <v>25</v>
      </c>
      <c r="AH20" s="47">
        <f t="shared" si="2"/>
        <v>7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6.9</v>
      </c>
      <c r="C24" s="45">
        <v>6.9</v>
      </c>
      <c r="D24" s="45">
        <v>6.9</v>
      </c>
      <c r="E24" s="45">
        <v>6.9</v>
      </c>
      <c r="F24" s="45">
        <v>6.9</v>
      </c>
      <c r="G24" s="45">
        <v>6.9</v>
      </c>
      <c r="H24" s="45">
        <v>6.9</v>
      </c>
      <c r="I24" s="45">
        <v>6.9</v>
      </c>
      <c r="J24" s="45">
        <v>6.9</v>
      </c>
      <c r="K24" s="45">
        <v>6.9</v>
      </c>
      <c r="L24" s="45">
        <v>6.9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50">
        <v>23.5</v>
      </c>
      <c r="AH24" s="47">
        <f t="shared" si="2"/>
        <v>7.3</v>
      </c>
      <c r="AI24" s="48">
        <f t="shared" si="3"/>
        <v>6.9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365.3</v>
      </c>
      <c r="C44" s="60">
        <f t="shared" si="4"/>
        <v>364.5</v>
      </c>
      <c r="D44" s="60">
        <f t="shared" si="4"/>
        <v>363.8</v>
      </c>
      <c r="E44" s="60">
        <f t="shared" si="4"/>
        <v>363.8</v>
      </c>
      <c r="F44" s="60">
        <f t="shared" si="4"/>
        <v>363.8</v>
      </c>
      <c r="G44" s="60">
        <f t="shared" si="4"/>
        <v>363.8</v>
      </c>
      <c r="H44" s="60">
        <f t="shared" si="4"/>
        <v>363.8</v>
      </c>
      <c r="I44" s="60">
        <f t="shared" si="4"/>
        <v>363.8</v>
      </c>
      <c r="J44" s="60">
        <f t="shared" si="4"/>
        <v>363.8</v>
      </c>
      <c r="K44" s="60">
        <f t="shared" si="4"/>
        <v>363.8</v>
      </c>
      <c r="L44" s="60">
        <f t="shared" si="4"/>
        <v>363.8</v>
      </c>
      <c r="M44" s="60">
        <f t="shared" si="4"/>
        <v>361.7</v>
      </c>
      <c r="N44" s="60">
        <f t="shared" si="4"/>
        <v>361.7</v>
      </c>
      <c r="O44" s="60">
        <f t="shared" si="4"/>
        <v>361.7</v>
      </c>
      <c r="P44" s="60">
        <f t="shared" si="4"/>
        <v>361.7</v>
      </c>
      <c r="Q44" s="60">
        <f t="shared" si="4"/>
        <v>361.7</v>
      </c>
      <c r="R44" s="60">
        <f t="shared" si="4"/>
        <v>361.7</v>
      </c>
      <c r="S44" s="60">
        <f t="shared" si="4"/>
        <v>361.7</v>
      </c>
      <c r="T44" s="60">
        <f t="shared" si="4"/>
        <v>361.7</v>
      </c>
      <c r="U44" s="60">
        <f t="shared" si="4"/>
        <v>361.7</v>
      </c>
      <c r="V44" s="60">
        <f t="shared" si="4"/>
        <v>361.7</v>
      </c>
      <c r="W44" s="60">
        <f t="shared" si="4"/>
        <v>361.7</v>
      </c>
      <c r="X44" s="60">
        <f t="shared" si="4"/>
        <v>361.7</v>
      </c>
      <c r="Y44" s="60">
        <f t="shared" si="4"/>
        <v>361.7</v>
      </c>
      <c r="Z44" s="60">
        <f t="shared" si="4"/>
        <v>361.7</v>
      </c>
      <c r="AA44" s="60">
        <f t="shared" si="4"/>
        <v>361.7</v>
      </c>
      <c r="AB44" s="60">
        <f t="shared" si="4"/>
        <v>364.9</v>
      </c>
      <c r="AC44" s="60">
        <f t="shared" si="4"/>
        <v>364.6</v>
      </c>
      <c r="AD44" s="60">
        <f t="shared" si="4"/>
        <v>364.6</v>
      </c>
      <c r="AE44" s="60">
        <f t="shared" si="4"/>
        <v>364.6</v>
      </c>
      <c r="AF44" s="60">
        <f t="shared" si="4"/>
        <v>364.1</v>
      </c>
      <c r="AG44" s="61">
        <f t="shared" si="4"/>
        <v>814.78000000000009</v>
      </c>
      <c r="AH44" s="47">
        <f t="shared" si="2"/>
        <v>365.3</v>
      </c>
      <c r="AI44" s="48">
        <f t="shared" si="3"/>
        <v>361.7</v>
      </c>
      <c r="AK44" s="49"/>
    </row>
    <row r="45" spans="1:88" x14ac:dyDescent="0.25">
      <c r="A45" s="62" t="s">
        <v>53</v>
      </c>
      <c r="B45" s="45">
        <v>45</v>
      </c>
      <c r="C45" s="45">
        <v>45</v>
      </c>
      <c r="D45" s="45">
        <v>55</v>
      </c>
      <c r="E45" s="45">
        <v>50</v>
      </c>
      <c r="F45" s="45">
        <v>60</v>
      </c>
      <c r="G45" s="45">
        <v>70</v>
      </c>
      <c r="H45" s="45">
        <v>80</v>
      </c>
      <c r="I45" s="45">
        <v>80</v>
      </c>
      <c r="J45" s="45">
        <v>80</v>
      </c>
      <c r="K45" s="45">
        <v>150</v>
      </c>
      <c r="L45" s="45">
        <v>225</v>
      </c>
      <c r="M45" s="63">
        <v>260</v>
      </c>
      <c r="N45" s="63">
        <v>130</v>
      </c>
      <c r="O45" s="45">
        <v>110</v>
      </c>
      <c r="P45" s="45">
        <v>110</v>
      </c>
      <c r="Q45" s="45">
        <v>110</v>
      </c>
      <c r="R45" s="45">
        <v>100</v>
      </c>
      <c r="S45" s="45">
        <v>100</v>
      </c>
      <c r="T45" s="45">
        <v>140</v>
      </c>
      <c r="U45" s="45">
        <v>135</v>
      </c>
      <c r="V45" s="45">
        <v>110</v>
      </c>
      <c r="W45" s="45">
        <v>100</v>
      </c>
      <c r="X45" s="45">
        <v>120</v>
      </c>
      <c r="Y45" s="45">
        <v>210</v>
      </c>
      <c r="Z45" s="45">
        <v>310</v>
      </c>
      <c r="AA45" s="45">
        <v>310</v>
      </c>
      <c r="AB45" s="45">
        <v>75</v>
      </c>
      <c r="AC45" s="45">
        <v>50</v>
      </c>
      <c r="AD45" s="45">
        <v>50</v>
      </c>
      <c r="AE45" s="45">
        <v>50</v>
      </c>
      <c r="AF45" s="45">
        <v>15</v>
      </c>
      <c r="AG45" s="51">
        <v>456</v>
      </c>
      <c r="AH45" s="47">
        <f t="shared" si="2"/>
        <v>310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9</v>
      </c>
      <c r="C47" s="67">
        <v>9</v>
      </c>
      <c r="D47" s="67">
        <v>9</v>
      </c>
      <c r="E47" s="67">
        <v>9</v>
      </c>
      <c r="F47" s="67">
        <v>9</v>
      </c>
      <c r="G47" s="67">
        <v>9</v>
      </c>
      <c r="H47" s="67">
        <v>9</v>
      </c>
      <c r="I47" s="67">
        <v>9</v>
      </c>
      <c r="J47" s="67">
        <v>9</v>
      </c>
      <c r="K47" s="67">
        <v>9</v>
      </c>
      <c r="L47" s="67">
        <v>9</v>
      </c>
      <c r="M47" s="67">
        <v>10.199999999999999</v>
      </c>
      <c r="N47" s="67">
        <v>9</v>
      </c>
      <c r="O47" s="67">
        <v>9.1</v>
      </c>
      <c r="P47" s="67">
        <v>9.1</v>
      </c>
      <c r="Q47" s="67">
        <v>9.1</v>
      </c>
      <c r="R47" s="67">
        <v>9.1999999999999993</v>
      </c>
      <c r="S47" s="67">
        <v>9.1999999999999993</v>
      </c>
      <c r="T47" s="67">
        <v>9.1999999999999993</v>
      </c>
      <c r="U47" s="67">
        <v>9.1999999999999993</v>
      </c>
      <c r="V47" s="67">
        <v>9.1999999999999993</v>
      </c>
      <c r="W47" s="67">
        <v>9.1999999999999993</v>
      </c>
      <c r="X47" s="67">
        <v>9.1999999999999993</v>
      </c>
      <c r="Y47" s="67">
        <v>9.1999999999999993</v>
      </c>
      <c r="Z47" s="67">
        <v>15.1</v>
      </c>
      <c r="AA47" s="67">
        <v>15.1</v>
      </c>
      <c r="AB47" s="67">
        <v>15.1</v>
      </c>
      <c r="AC47" s="67">
        <v>15.1</v>
      </c>
      <c r="AD47" s="67">
        <v>15.1</v>
      </c>
      <c r="AE47" s="67">
        <v>15.1</v>
      </c>
      <c r="AF47" s="67">
        <v>15.1</v>
      </c>
      <c r="AG47" s="68">
        <v>22.1</v>
      </c>
      <c r="AH47" s="47">
        <f t="shared" si="2"/>
        <v>15.1</v>
      </c>
      <c r="AI47" s="48">
        <f t="shared" si="3"/>
        <v>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82</v>
      </c>
      <c r="C48" s="60">
        <f t="shared" si="5"/>
        <v>82</v>
      </c>
      <c r="D48" s="60">
        <f t="shared" si="5"/>
        <v>92</v>
      </c>
      <c r="E48" s="60">
        <f t="shared" si="5"/>
        <v>87</v>
      </c>
      <c r="F48" s="60">
        <f t="shared" si="5"/>
        <v>97</v>
      </c>
      <c r="G48" s="60">
        <f t="shared" si="5"/>
        <v>107</v>
      </c>
      <c r="H48" s="60">
        <f t="shared" si="5"/>
        <v>117</v>
      </c>
      <c r="I48" s="60">
        <f t="shared" si="5"/>
        <v>117</v>
      </c>
      <c r="J48" s="60">
        <f t="shared" si="5"/>
        <v>117</v>
      </c>
      <c r="K48" s="60">
        <f t="shared" si="5"/>
        <v>187</v>
      </c>
      <c r="L48" s="60">
        <f t="shared" si="5"/>
        <v>262</v>
      </c>
      <c r="M48" s="60">
        <f t="shared" si="5"/>
        <v>298.2</v>
      </c>
      <c r="N48" s="60">
        <f t="shared" si="5"/>
        <v>167</v>
      </c>
      <c r="O48" s="60">
        <f t="shared" si="5"/>
        <v>147.1</v>
      </c>
      <c r="P48" s="60">
        <f t="shared" si="5"/>
        <v>147.1</v>
      </c>
      <c r="Q48" s="60">
        <f t="shared" si="5"/>
        <v>147.1</v>
      </c>
      <c r="R48" s="60">
        <f t="shared" si="5"/>
        <v>137.19999999999999</v>
      </c>
      <c r="S48" s="60">
        <f t="shared" si="5"/>
        <v>137.19999999999999</v>
      </c>
      <c r="T48" s="60">
        <f t="shared" si="5"/>
        <v>177.2</v>
      </c>
      <c r="U48" s="60">
        <f t="shared" si="5"/>
        <v>172.2</v>
      </c>
      <c r="V48" s="60">
        <f t="shared" si="5"/>
        <v>147.19999999999999</v>
      </c>
      <c r="W48" s="60">
        <f t="shared" si="5"/>
        <v>137.19999999999999</v>
      </c>
      <c r="X48" s="60">
        <f t="shared" si="5"/>
        <v>157.19999999999999</v>
      </c>
      <c r="Y48" s="60">
        <f t="shared" si="5"/>
        <v>247.2</v>
      </c>
      <c r="Z48" s="60">
        <f t="shared" si="5"/>
        <v>353.1</v>
      </c>
      <c r="AA48" s="60">
        <f t="shared" si="5"/>
        <v>353.1</v>
      </c>
      <c r="AB48" s="60">
        <f t="shared" si="5"/>
        <v>118.1</v>
      </c>
      <c r="AC48" s="60">
        <f t="shared" si="5"/>
        <v>93.1</v>
      </c>
      <c r="AD48" s="60">
        <f t="shared" si="5"/>
        <v>93.1</v>
      </c>
      <c r="AE48" s="60">
        <f t="shared" si="5"/>
        <v>93.1</v>
      </c>
      <c r="AF48" s="60">
        <f t="shared" si="5"/>
        <v>58.1</v>
      </c>
      <c r="AG48" s="61">
        <f t="shared" si="5"/>
        <v>538.1</v>
      </c>
      <c r="AH48" s="47">
        <f t="shared" si="2"/>
        <v>353.1</v>
      </c>
      <c r="AI48" s="48">
        <f t="shared" si="3"/>
        <v>58.1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34</v>
      </c>
      <c r="I49" s="45">
        <v>73</v>
      </c>
      <c r="J49" s="45">
        <v>111</v>
      </c>
      <c r="K49" s="45">
        <v>133</v>
      </c>
      <c r="L49" s="45">
        <v>118</v>
      </c>
      <c r="M49" s="45">
        <v>131.9</v>
      </c>
      <c r="N49" s="45">
        <v>71.5</v>
      </c>
      <c r="O49" s="45">
        <v>61.2</v>
      </c>
      <c r="P49" s="45">
        <v>61.2</v>
      </c>
      <c r="Q49" s="45">
        <v>61.2</v>
      </c>
      <c r="R49" s="45">
        <v>95</v>
      </c>
      <c r="S49" s="45">
        <v>61</v>
      </c>
      <c r="T49" s="45">
        <v>61.5</v>
      </c>
      <c r="U49" s="45">
        <v>61.3</v>
      </c>
      <c r="V49" s="45">
        <v>61.3</v>
      </c>
      <c r="W49" s="45">
        <v>61.3</v>
      </c>
      <c r="X49" s="45">
        <v>90</v>
      </c>
      <c r="Y49" s="45">
        <v>110</v>
      </c>
      <c r="Z49" s="45">
        <v>112</v>
      </c>
      <c r="AA49" s="45">
        <v>81.8</v>
      </c>
      <c r="AB49" s="45">
        <v>60</v>
      </c>
      <c r="AC49" s="45">
        <v>60</v>
      </c>
      <c r="AD49" s="45">
        <v>70</v>
      </c>
      <c r="AE49" s="45">
        <v>80</v>
      </c>
      <c r="AF49" s="45">
        <v>40</v>
      </c>
      <c r="AG49" s="51">
        <v>144</v>
      </c>
      <c r="AH49" s="47">
        <f t="shared" si="2"/>
        <v>133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23</v>
      </c>
      <c r="C50" s="65">
        <v>23</v>
      </c>
      <c r="D50" s="65">
        <v>23</v>
      </c>
      <c r="E50" s="65">
        <v>23</v>
      </c>
      <c r="F50" s="65">
        <v>23</v>
      </c>
      <c r="G50" s="65">
        <v>23</v>
      </c>
      <c r="H50" s="65">
        <v>25</v>
      </c>
      <c r="I50" s="65">
        <v>24.8</v>
      </c>
      <c r="J50" s="65">
        <v>47</v>
      </c>
      <c r="K50" s="65">
        <v>60</v>
      </c>
      <c r="L50" s="65">
        <v>45</v>
      </c>
      <c r="M50" s="65">
        <v>24.1</v>
      </c>
      <c r="N50" s="65">
        <v>25.4</v>
      </c>
      <c r="O50" s="65">
        <v>23.7</v>
      </c>
      <c r="P50" s="65">
        <v>23.7</v>
      </c>
      <c r="Q50" s="65">
        <v>23.7</v>
      </c>
      <c r="R50" s="45">
        <v>0</v>
      </c>
      <c r="S50" s="45">
        <v>25.6</v>
      </c>
      <c r="T50" s="45">
        <v>32</v>
      </c>
      <c r="U50" s="45">
        <v>32.200000000000003</v>
      </c>
      <c r="V50" s="45">
        <v>52.8</v>
      </c>
      <c r="W50" s="45">
        <v>52.8</v>
      </c>
      <c r="X50" s="45">
        <v>51.3</v>
      </c>
      <c r="Y50" s="45">
        <v>63.7</v>
      </c>
      <c r="Z50" s="45">
        <v>68</v>
      </c>
      <c r="AA50" s="45">
        <v>35.799999999999997</v>
      </c>
      <c r="AB50" s="65">
        <v>21.6</v>
      </c>
      <c r="AC50" s="65">
        <v>21.6</v>
      </c>
      <c r="AD50" s="65">
        <v>23.7</v>
      </c>
      <c r="AE50" s="65">
        <v>35</v>
      </c>
      <c r="AF50" s="65">
        <v>25</v>
      </c>
      <c r="AG50" s="54">
        <v>70</v>
      </c>
      <c r="AH50" s="47">
        <f t="shared" si="2"/>
        <v>68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15</v>
      </c>
      <c r="C51" s="65">
        <v>0</v>
      </c>
      <c r="D51" s="65">
        <v>0</v>
      </c>
      <c r="E51" s="65">
        <v>0</v>
      </c>
      <c r="F51" s="65">
        <v>17</v>
      </c>
      <c r="G51" s="65">
        <v>17</v>
      </c>
      <c r="H51" s="65">
        <v>46</v>
      </c>
      <c r="I51" s="65">
        <v>34.700000000000003</v>
      </c>
      <c r="J51" s="65">
        <v>65</v>
      </c>
      <c r="K51" s="65">
        <v>51</v>
      </c>
      <c r="L51" s="65">
        <v>60</v>
      </c>
      <c r="M51" s="65">
        <v>50.6</v>
      </c>
      <c r="N51" s="65">
        <v>50.4</v>
      </c>
      <c r="O51" s="65">
        <v>50.3</v>
      </c>
      <c r="P51" s="65">
        <v>50.3</v>
      </c>
      <c r="Q51" s="65">
        <v>50.3</v>
      </c>
      <c r="R51" s="45">
        <v>61.37</v>
      </c>
      <c r="S51" s="45">
        <v>32.200000000000003</v>
      </c>
      <c r="T51" s="45">
        <v>32.200000000000003</v>
      </c>
      <c r="U51" s="45">
        <v>39.799999999999997</v>
      </c>
      <c r="V51" s="45">
        <v>32.1</v>
      </c>
      <c r="W51" s="45">
        <v>32.1</v>
      </c>
      <c r="X51" s="45">
        <v>32.700000000000003</v>
      </c>
      <c r="Y51" s="45">
        <v>46.1</v>
      </c>
      <c r="Z51" s="45">
        <v>34</v>
      </c>
      <c r="AA51" s="45">
        <v>34</v>
      </c>
      <c r="AB51" s="65">
        <v>32.4</v>
      </c>
      <c r="AC51" s="65">
        <v>32.4</v>
      </c>
      <c r="AD51" s="65">
        <v>32.4</v>
      </c>
      <c r="AE51" s="65">
        <v>16</v>
      </c>
      <c r="AF51" s="65">
        <v>23</v>
      </c>
      <c r="AG51" s="54">
        <v>69</v>
      </c>
      <c r="AH51" s="47">
        <f t="shared" si="2"/>
        <v>65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40</v>
      </c>
      <c r="C52" s="56">
        <v>40</v>
      </c>
      <c r="D52" s="56">
        <v>40</v>
      </c>
      <c r="E52" s="56">
        <v>40</v>
      </c>
      <c r="F52" s="56">
        <v>40</v>
      </c>
      <c r="G52" s="56">
        <v>40</v>
      </c>
      <c r="H52" s="56">
        <v>40</v>
      </c>
      <c r="I52" s="56">
        <v>44</v>
      </c>
      <c r="J52" s="56">
        <v>44</v>
      </c>
      <c r="K52" s="56">
        <v>44</v>
      </c>
      <c r="L52" s="56">
        <v>44</v>
      </c>
      <c r="M52" s="65">
        <v>42.1</v>
      </c>
      <c r="N52" s="65">
        <v>42.1</v>
      </c>
      <c r="O52" s="65">
        <v>42.1</v>
      </c>
      <c r="P52" s="65">
        <v>42.1</v>
      </c>
      <c r="Q52" s="65">
        <v>42.1</v>
      </c>
      <c r="R52" s="45">
        <v>42.1</v>
      </c>
      <c r="S52" s="45">
        <v>42.1</v>
      </c>
      <c r="T52" s="45">
        <v>40</v>
      </c>
      <c r="U52" s="45">
        <v>40</v>
      </c>
      <c r="V52" s="45">
        <v>40</v>
      </c>
      <c r="W52" s="45">
        <v>40</v>
      </c>
      <c r="X52" s="45">
        <v>40</v>
      </c>
      <c r="Y52" s="65">
        <v>40</v>
      </c>
      <c r="Z52" s="65">
        <v>40</v>
      </c>
      <c r="AA52" s="65">
        <v>40</v>
      </c>
      <c r="AB52" s="65">
        <v>40</v>
      </c>
      <c r="AC52" s="65">
        <v>40</v>
      </c>
      <c r="AD52" s="65">
        <v>39.299999999999997</v>
      </c>
      <c r="AE52" s="65">
        <v>39.299999999999997</v>
      </c>
      <c r="AF52" s="65">
        <v>44.6</v>
      </c>
      <c r="AG52" s="54">
        <v>60</v>
      </c>
      <c r="AH52" s="47">
        <f t="shared" si="2"/>
        <v>44.6</v>
      </c>
      <c r="AI52" s="48">
        <f t="shared" si="3"/>
        <v>39.299999999999997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15</v>
      </c>
      <c r="I53" s="56">
        <v>15</v>
      </c>
      <c r="J53" s="56">
        <v>25</v>
      </c>
      <c r="K53" s="56">
        <v>25</v>
      </c>
      <c r="L53" s="56">
        <v>25</v>
      </c>
      <c r="M53" s="65">
        <v>25</v>
      </c>
      <c r="N53" s="65">
        <v>25</v>
      </c>
      <c r="O53" s="65">
        <v>13</v>
      </c>
      <c r="P53" s="65">
        <v>13</v>
      </c>
      <c r="Q53" s="65">
        <v>13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13</v>
      </c>
      <c r="Y53" s="65">
        <v>15</v>
      </c>
      <c r="Z53" s="65">
        <v>28</v>
      </c>
      <c r="AA53" s="65">
        <v>25</v>
      </c>
      <c r="AB53" s="65">
        <v>25</v>
      </c>
      <c r="AC53" s="65">
        <v>25</v>
      </c>
      <c r="AD53" s="65">
        <v>15</v>
      </c>
      <c r="AE53" s="65">
        <v>15</v>
      </c>
      <c r="AF53" s="65">
        <v>13</v>
      </c>
      <c r="AG53" s="54">
        <v>30</v>
      </c>
      <c r="AH53" s="47">
        <f t="shared" si="2"/>
        <v>28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2</v>
      </c>
      <c r="O54" s="65">
        <v>4</v>
      </c>
      <c r="P54" s="65">
        <v>4</v>
      </c>
      <c r="Q54" s="6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45">
        <v>8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10.1</v>
      </c>
      <c r="U57" s="65">
        <v>10.1</v>
      </c>
      <c r="V57" s="65">
        <v>10.1</v>
      </c>
      <c r="W57" s="65">
        <v>10.1</v>
      </c>
      <c r="X57" s="65">
        <v>10.1</v>
      </c>
      <c r="Y57" s="65">
        <v>10.1</v>
      </c>
      <c r="Z57" s="65">
        <v>10.1</v>
      </c>
      <c r="AA57" s="65">
        <v>10.1</v>
      </c>
      <c r="AB57" s="65">
        <v>10.1</v>
      </c>
      <c r="AC57" s="65">
        <v>10.1</v>
      </c>
      <c r="AD57" s="65">
        <v>10.1</v>
      </c>
      <c r="AE57" s="65">
        <v>10.1</v>
      </c>
      <c r="AF57" s="65">
        <v>10.1</v>
      </c>
      <c r="AG57" s="54">
        <v>14.1</v>
      </c>
      <c r="AH57" s="47">
        <f t="shared" si="2"/>
        <v>10.6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3.2</v>
      </c>
      <c r="C58" s="65">
        <v>3.2</v>
      </c>
      <c r="D58" s="65">
        <v>3.2</v>
      </c>
      <c r="E58" s="65">
        <v>3.2</v>
      </c>
      <c r="F58" s="65">
        <v>3.2</v>
      </c>
      <c r="G58" s="65">
        <v>3.2</v>
      </c>
      <c r="H58" s="65">
        <v>3.2</v>
      </c>
      <c r="I58" s="65">
        <v>3.2</v>
      </c>
      <c r="J58" s="65">
        <v>3.2</v>
      </c>
      <c r="K58" s="65">
        <v>3.2</v>
      </c>
      <c r="L58" s="65">
        <v>3.2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3</v>
      </c>
      <c r="X58" s="65">
        <v>3</v>
      </c>
      <c r="Y58" s="65">
        <v>3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121.94000000000001</v>
      </c>
      <c r="C62" s="60">
        <f t="shared" si="6"/>
        <v>106.94000000000001</v>
      </c>
      <c r="D62" s="60">
        <f t="shared" si="6"/>
        <v>106.94000000000001</v>
      </c>
      <c r="E62" s="60">
        <f t="shared" si="6"/>
        <v>106.94000000000001</v>
      </c>
      <c r="F62" s="60">
        <f t="shared" si="6"/>
        <v>123.94000000000001</v>
      </c>
      <c r="G62" s="60">
        <f t="shared" si="6"/>
        <v>123.94000000000001</v>
      </c>
      <c r="H62" s="60">
        <f t="shared" si="6"/>
        <v>203.93999999999994</v>
      </c>
      <c r="I62" s="60">
        <f t="shared" si="6"/>
        <v>235.43999999999994</v>
      </c>
      <c r="J62" s="60">
        <f t="shared" si="6"/>
        <v>335.94</v>
      </c>
      <c r="K62" s="60">
        <f t="shared" si="6"/>
        <v>356.94</v>
      </c>
      <c r="L62" s="60">
        <f t="shared" si="6"/>
        <v>335.94</v>
      </c>
      <c r="M62" s="60">
        <f t="shared" si="6"/>
        <v>318.74</v>
      </c>
      <c r="N62" s="60">
        <f t="shared" si="6"/>
        <v>261.44</v>
      </c>
      <c r="O62" s="60">
        <f t="shared" si="6"/>
        <v>239.33999999999995</v>
      </c>
      <c r="P62" s="60">
        <f t="shared" si="6"/>
        <v>239.33999999999995</v>
      </c>
      <c r="Q62" s="60">
        <f t="shared" si="6"/>
        <v>243.33999999999995</v>
      </c>
      <c r="R62" s="60">
        <f t="shared" si="6"/>
        <v>251.50999999999996</v>
      </c>
      <c r="S62" s="60">
        <f t="shared" si="6"/>
        <v>213.93999999999997</v>
      </c>
      <c r="T62" s="60">
        <f t="shared" si="6"/>
        <v>218.73999999999995</v>
      </c>
      <c r="U62" s="60">
        <f t="shared" si="6"/>
        <v>226.33999999999997</v>
      </c>
      <c r="V62" s="60">
        <f t="shared" si="6"/>
        <v>239.23999999999995</v>
      </c>
      <c r="W62" s="60">
        <f t="shared" si="6"/>
        <v>237.43999999999994</v>
      </c>
      <c r="X62" s="60">
        <f t="shared" si="6"/>
        <v>278.24</v>
      </c>
      <c r="Y62" s="60">
        <f t="shared" si="6"/>
        <v>318.03999999999996</v>
      </c>
      <c r="Z62" s="60">
        <f t="shared" si="6"/>
        <v>327.24</v>
      </c>
      <c r="AA62" s="60">
        <f t="shared" si="6"/>
        <v>261.83999999999997</v>
      </c>
      <c r="AB62" s="60">
        <f t="shared" si="6"/>
        <v>224.23999999999995</v>
      </c>
      <c r="AC62" s="60">
        <f t="shared" si="6"/>
        <v>224.23999999999995</v>
      </c>
      <c r="AD62" s="60">
        <f t="shared" si="6"/>
        <v>225.63999999999993</v>
      </c>
      <c r="AE62" s="60">
        <f t="shared" si="6"/>
        <v>230.53999999999996</v>
      </c>
      <c r="AF62" s="60">
        <f t="shared" si="6"/>
        <v>190.83999999999995</v>
      </c>
      <c r="AG62" s="61">
        <f t="shared" si="6"/>
        <v>489.91</v>
      </c>
      <c r="AH62" s="47">
        <f t="shared" si="2"/>
        <v>356.94</v>
      </c>
      <c r="AI62" s="48">
        <f t="shared" si="3"/>
        <v>106.94000000000001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30</v>
      </c>
      <c r="Q63" s="45">
        <v>50</v>
      </c>
      <c r="R63" s="45">
        <v>50.7</v>
      </c>
      <c r="S63" s="45">
        <v>40</v>
      </c>
      <c r="T63" s="45">
        <v>60</v>
      </c>
      <c r="U63" s="45">
        <v>60</v>
      </c>
      <c r="V63" s="45">
        <v>60</v>
      </c>
      <c r="W63" s="45">
        <v>34</v>
      </c>
      <c r="X63" s="45">
        <v>45</v>
      </c>
      <c r="Y63" s="45">
        <v>50</v>
      </c>
      <c r="Z63" s="45">
        <v>50</v>
      </c>
      <c r="AA63" s="45">
        <v>50</v>
      </c>
      <c r="AB63" s="45">
        <v>50.7</v>
      </c>
      <c r="AC63" s="45">
        <v>20</v>
      </c>
      <c r="AD63" s="45">
        <v>25</v>
      </c>
      <c r="AE63" s="45">
        <v>14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10</v>
      </c>
      <c r="Q64" s="45">
        <v>17.100000000000001</v>
      </c>
      <c r="R64" s="45">
        <v>16.7</v>
      </c>
      <c r="S64" s="65">
        <v>16.7</v>
      </c>
      <c r="T64" s="65">
        <v>28</v>
      </c>
      <c r="U64" s="65">
        <v>23.4</v>
      </c>
      <c r="V64" s="65">
        <v>28.3</v>
      </c>
      <c r="W64" s="65">
        <v>18.5</v>
      </c>
      <c r="X64" s="65">
        <v>21</v>
      </c>
      <c r="Y64" s="65">
        <v>22.2</v>
      </c>
      <c r="Z64" s="65">
        <v>22.2</v>
      </c>
      <c r="AA64" s="65">
        <v>22.4</v>
      </c>
      <c r="AB64" s="65">
        <v>13.2</v>
      </c>
      <c r="AC64" s="65">
        <v>13.3</v>
      </c>
      <c r="AD64" s="65">
        <v>10</v>
      </c>
      <c r="AE64" s="65">
        <v>6</v>
      </c>
      <c r="AF64" s="45">
        <v>0</v>
      </c>
      <c r="AG64" s="54">
        <v>32</v>
      </c>
      <c r="AH64" s="47">
        <f t="shared" si="2"/>
        <v>28.3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4</v>
      </c>
      <c r="Q65" s="45">
        <v>6.2</v>
      </c>
      <c r="R65" s="45">
        <v>6</v>
      </c>
      <c r="S65" s="67">
        <v>6.1</v>
      </c>
      <c r="T65" s="67">
        <v>10.199999999999999</v>
      </c>
      <c r="U65" s="67">
        <v>8.5</v>
      </c>
      <c r="V65" s="67">
        <v>10.3</v>
      </c>
      <c r="W65" s="67">
        <v>6.7</v>
      </c>
      <c r="X65" s="67">
        <v>7.5</v>
      </c>
      <c r="Y65" s="67">
        <v>5.2</v>
      </c>
      <c r="Z65" s="67">
        <v>8.1999999999999993</v>
      </c>
      <c r="AA65" s="67">
        <v>8.1999999999999993</v>
      </c>
      <c r="AB65" s="67">
        <v>4.8</v>
      </c>
      <c r="AC65" s="67">
        <v>4.8</v>
      </c>
      <c r="AD65" s="67">
        <v>3.7</v>
      </c>
      <c r="AE65" s="67">
        <v>2.2999999999999998</v>
      </c>
      <c r="AF65" s="45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44</v>
      </c>
      <c r="Q66" s="60">
        <f t="shared" si="7"/>
        <v>73.3</v>
      </c>
      <c r="R66" s="60">
        <f t="shared" si="7"/>
        <v>73.400000000000006</v>
      </c>
      <c r="S66" s="60">
        <f t="shared" si="7"/>
        <v>62.800000000000004</v>
      </c>
      <c r="T66" s="60">
        <f t="shared" si="7"/>
        <v>98.2</v>
      </c>
      <c r="U66" s="60">
        <f t="shared" si="7"/>
        <v>91.9</v>
      </c>
      <c r="V66" s="60">
        <f t="shared" si="7"/>
        <v>98.6</v>
      </c>
      <c r="W66" s="60">
        <f t="shared" si="7"/>
        <v>59.2</v>
      </c>
      <c r="X66" s="60">
        <f t="shared" si="7"/>
        <v>73.5</v>
      </c>
      <c r="Y66" s="60">
        <f t="shared" si="7"/>
        <v>77.400000000000006</v>
      </c>
      <c r="Z66" s="60">
        <f t="shared" si="7"/>
        <v>80.400000000000006</v>
      </c>
      <c r="AA66" s="60">
        <f t="shared" si="7"/>
        <v>80.600000000000009</v>
      </c>
      <c r="AB66" s="60">
        <f t="shared" si="7"/>
        <v>68.7</v>
      </c>
      <c r="AC66" s="60">
        <f t="shared" si="7"/>
        <v>38.099999999999994</v>
      </c>
      <c r="AD66" s="60">
        <f t="shared" si="7"/>
        <v>38.700000000000003</v>
      </c>
      <c r="AE66" s="60">
        <f t="shared" si="7"/>
        <v>22.3</v>
      </c>
      <c r="AF66" s="60">
        <f t="shared" si="7"/>
        <v>0</v>
      </c>
      <c r="AG66" s="61">
        <f>SUM(AG63:AG65)</f>
        <v>106</v>
      </c>
      <c r="AH66" s="47">
        <f t="shared" si="2"/>
        <v>98.6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67</v>
      </c>
      <c r="C67" s="45">
        <v>65</v>
      </c>
      <c r="D67" s="45">
        <v>67</v>
      </c>
      <c r="E67" s="45">
        <v>48.5</v>
      </c>
      <c r="F67" s="45">
        <v>57</v>
      </c>
      <c r="G67" s="45">
        <v>59</v>
      </c>
      <c r="H67" s="45">
        <v>64</v>
      </c>
      <c r="I67" s="45">
        <v>58</v>
      </c>
      <c r="J67" s="45">
        <v>56</v>
      </c>
      <c r="K67" s="45">
        <v>56</v>
      </c>
      <c r="L67" s="45">
        <v>51</v>
      </c>
      <c r="M67" s="45">
        <v>49.6</v>
      </c>
      <c r="N67" s="45">
        <v>59.6</v>
      </c>
      <c r="O67" s="45">
        <v>74.599999999999994</v>
      </c>
      <c r="P67" s="45">
        <v>76</v>
      </c>
      <c r="Q67" s="45">
        <v>68</v>
      </c>
      <c r="R67" s="45">
        <v>66.900000000000006</v>
      </c>
      <c r="S67" s="45">
        <v>70</v>
      </c>
      <c r="T67" s="45">
        <v>68</v>
      </c>
      <c r="U67" s="45">
        <v>67.2</v>
      </c>
      <c r="V67" s="45">
        <v>59.3</v>
      </c>
      <c r="W67" s="45">
        <v>58</v>
      </c>
      <c r="X67" s="45">
        <v>53.2</v>
      </c>
      <c r="Y67" s="45">
        <v>62.1</v>
      </c>
      <c r="Z67" s="45">
        <v>30.1</v>
      </c>
      <c r="AA67" s="45">
        <v>30.8</v>
      </c>
      <c r="AB67" s="45">
        <v>52.8</v>
      </c>
      <c r="AC67" s="45">
        <v>55</v>
      </c>
      <c r="AD67" s="45">
        <v>65</v>
      </c>
      <c r="AE67" s="45">
        <v>67</v>
      </c>
      <c r="AF67" s="45">
        <v>65</v>
      </c>
      <c r="AG67" s="51"/>
      <c r="AH67" s="47">
        <f t="shared" si="2"/>
        <v>76</v>
      </c>
      <c r="AI67" s="48">
        <f t="shared" si="3"/>
        <v>30.1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335</v>
      </c>
      <c r="C69" s="65">
        <v>333</v>
      </c>
      <c r="D69" s="65">
        <v>330</v>
      </c>
      <c r="E69" s="65">
        <v>314</v>
      </c>
      <c r="F69" s="65">
        <v>322</v>
      </c>
      <c r="G69" s="65">
        <v>310</v>
      </c>
      <c r="H69" s="65">
        <v>316</v>
      </c>
      <c r="I69" s="65">
        <v>321</v>
      </c>
      <c r="J69" s="65">
        <v>317</v>
      </c>
      <c r="K69" s="65">
        <v>177</v>
      </c>
      <c r="L69" s="65">
        <v>145</v>
      </c>
      <c r="M69" s="65">
        <v>162</v>
      </c>
      <c r="N69" s="65">
        <v>314</v>
      </c>
      <c r="O69" s="65">
        <v>322.39999999999998</v>
      </c>
      <c r="P69" s="65">
        <v>334</v>
      </c>
      <c r="Q69" s="65">
        <v>333.4</v>
      </c>
      <c r="R69" s="65">
        <v>310.2</v>
      </c>
      <c r="S69" s="65">
        <v>337</v>
      </c>
      <c r="T69" s="65">
        <v>332</v>
      </c>
      <c r="U69" s="65">
        <v>340</v>
      </c>
      <c r="V69" s="65">
        <v>320</v>
      </c>
      <c r="W69" s="65">
        <v>323</v>
      </c>
      <c r="X69" s="65">
        <v>263</v>
      </c>
      <c r="Y69" s="65">
        <v>282</v>
      </c>
      <c r="Z69" s="65">
        <v>115</v>
      </c>
      <c r="AA69" s="65">
        <v>115</v>
      </c>
      <c r="AB69" s="65">
        <v>320</v>
      </c>
      <c r="AC69" s="65">
        <v>330</v>
      </c>
      <c r="AD69" s="65">
        <v>335</v>
      </c>
      <c r="AE69" s="65">
        <v>338</v>
      </c>
      <c r="AF69" s="65">
        <v>340</v>
      </c>
      <c r="AG69" s="75"/>
      <c r="AH69" s="47">
        <f t="shared" si="2"/>
        <v>340</v>
      </c>
      <c r="AI69" s="48">
        <f t="shared" si="3"/>
        <v>115</v>
      </c>
      <c r="AK69" s="49"/>
    </row>
    <row r="70" spans="1:40" x14ac:dyDescent="0.25">
      <c r="A70" s="53" t="s">
        <v>78</v>
      </c>
      <c r="B70" s="76">
        <v>62</v>
      </c>
      <c r="C70" s="76">
        <v>57</v>
      </c>
      <c r="D70" s="76">
        <v>63</v>
      </c>
      <c r="E70" s="76">
        <v>62.3</v>
      </c>
      <c r="F70" s="76">
        <v>62.2</v>
      </c>
      <c r="G70" s="76">
        <v>53</v>
      </c>
      <c r="H70" s="76">
        <v>60.5</v>
      </c>
      <c r="I70" s="76">
        <v>60.5</v>
      </c>
      <c r="J70" s="76">
        <v>64</v>
      </c>
      <c r="K70" s="76">
        <v>44</v>
      </c>
      <c r="L70" s="76">
        <v>44</v>
      </c>
      <c r="M70" s="76">
        <v>49.5</v>
      </c>
      <c r="N70" s="76">
        <v>49.4</v>
      </c>
      <c r="O70" s="76">
        <v>64.099999999999994</v>
      </c>
      <c r="P70" s="76">
        <v>64.099999999999994</v>
      </c>
      <c r="Q70" s="76">
        <v>64.099999999999994</v>
      </c>
      <c r="R70" s="76">
        <v>73.3</v>
      </c>
      <c r="S70" s="76">
        <v>73</v>
      </c>
      <c r="T70" s="76">
        <v>58</v>
      </c>
      <c r="U70" s="76">
        <v>55.5</v>
      </c>
      <c r="V70" s="76">
        <v>52.5</v>
      </c>
      <c r="W70" s="76">
        <v>54.2</v>
      </c>
      <c r="X70" s="65">
        <v>56.1</v>
      </c>
      <c r="Y70" s="65">
        <v>64</v>
      </c>
      <c r="Z70" s="65">
        <v>65.099999999999994</v>
      </c>
      <c r="AA70" s="65">
        <v>65.400000000000006</v>
      </c>
      <c r="AB70" s="65">
        <v>65.400000000000006</v>
      </c>
      <c r="AC70" s="65">
        <v>63.6</v>
      </c>
      <c r="AD70" s="65">
        <v>56</v>
      </c>
      <c r="AE70" s="65">
        <v>59</v>
      </c>
      <c r="AF70" s="65">
        <v>64</v>
      </c>
      <c r="AG70" s="75"/>
      <c r="AH70" s="47">
        <f t="shared" si="2"/>
        <v>73.3</v>
      </c>
      <c r="AI70" s="48">
        <f t="shared" si="3"/>
        <v>44</v>
      </c>
      <c r="AK70" s="49"/>
    </row>
    <row r="71" spans="1:40" x14ac:dyDescent="0.25">
      <c r="A71" s="53" t="s">
        <v>79</v>
      </c>
      <c r="B71" s="45">
        <v>23</v>
      </c>
      <c r="C71" s="45">
        <v>23</v>
      </c>
      <c r="D71" s="45">
        <v>25</v>
      </c>
      <c r="E71" s="45">
        <v>25</v>
      </c>
      <c r="F71" s="45">
        <v>25</v>
      </c>
      <c r="G71" s="45">
        <v>25</v>
      </c>
      <c r="H71" s="45">
        <v>25</v>
      </c>
      <c r="I71" s="45">
        <v>25</v>
      </c>
      <c r="J71" s="45">
        <v>25</v>
      </c>
      <c r="K71" s="45">
        <v>25</v>
      </c>
      <c r="L71" s="45">
        <v>56</v>
      </c>
      <c r="M71" s="45">
        <v>65</v>
      </c>
      <c r="N71" s="45">
        <v>65</v>
      </c>
      <c r="O71" s="45">
        <v>65</v>
      </c>
      <c r="P71" s="45">
        <v>90</v>
      </c>
      <c r="Q71" s="45">
        <v>20</v>
      </c>
      <c r="R71" s="45">
        <v>20.5</v>
      </c>
      <c r="S71" s="45">
        <v>20.5</v>
      </c>
      <c r="T71" s="45">
        <v>36</v>
      </c>
      <c r="U71" s="45">
        <v>36</v>
      </c>
      <c r="V71" s="45">
        <v>36</v>
      </c>
      <c r="W71" s="45">
        <v>36</v>
      </c>
      <c r="X71" s="45">
        <v>74</v>
      </c>
      <c r="Y71" s="45">
        <v>74</v>
      </c>
      <c r="Z71" s="45">
        <v>74</v>
      </c>
      <c r="AA71" s="45">
        <v>74</v>
      </c>
      <c r="AB71" s="45">
        <v>74</v>
      </c>
      <c r="AC71" s="45">
        <v>65</v>
      </c>
      <c r="AD71" s="45">
        <v>25</v>
      </c>
      <c r="AE71" s="45">
        <v>25</v>
      </c>
      <c r="AF71" s="45">
        <v>25</v>
      </c>
      <c r="AG71" s="75"/>
      <c r="AH71" s="47">
        <f t="shared" si="2"/>
        <v>90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492</v>
      </c>
      <c r="C78" s="60">
        <f t="shared" si="10"/>
        <v>483</v>
      </c>
      <c r="D78" s="60">
        <f t="shared" si="10"/>
        <v>490</v>
      </c>
      <c r="E78" s="60">
        <f t="shared" si="10"/>
        <v>454.8</v>
      </c>
      <c r="F78" s="60">
        <f t="shared" si="10"/>
        <v>471.2</v>
      </c>
      <c r="G78" s="60">
        <f t="shared" si="10"/>
        <v>452</v>
      </c>
      <c r="H78" s="60">
        <f t="shared" si="10"/>
        <v>470.5</v>
      </c>
      <c r="I78" s="60">
        <f t="shared" si="10"/>
        <v>469.5</v>
      </c>
      <c r="J78" s="60">
        <f t="shared" si="10"/>
        <v>467</v>
      </c>
      <c r="K78" s="60">
        <f t="shared" si="10"/>
        <v>307</v>
      </c>
      <c r="L78" s="60">
        <f t="shared" si="10"/>
        <v>301</v>
      </c>
      <c r="M78" s="60">
        <f t="shared" si="10"/>
        <v>331.1</v>
      </c>
      <c r="N78" s="60">
        <f t="shared" si="10"/>
        <v>493</v>
      </c>
      <c r="O78" s="60">
        <f t="shared" si="10"/>
        <v>531.1</v>
      </c>
      <c r="P78" s="60">
        <f t="shared" si="10"/>
        <v>569.1</v>
      </c>
      <c r="Q78" s="60">
        <f t="shared" si="10"/>
        <v>490.5</v>
      </c>
      <c r="R78" s="60">
        <f t="shared" si="10"/>
        <v>475.90000000000003</v>
      </c>
      <c r="S78" s="60">
        <f t="shared" si="10"/>
        <v>505.5</v>
      </c>
      <c r="T78" s="60">
        <f t="shared" si="10"/>
        <v>499</v>
      </c>
      <c r="U78" s="60">
        <f t="shared" si="10"/>
        <v>503.7</v>
      </c>
      <c r="V78" s="60">
        <f t="shared" si="10"/>
        <v>472.8</v>
      </c>
      <c r="W78" s="60">
        <f t="shared" si="10"/>
        <v>476.2</v>
      </c>
      <c r="X78" s="60">
        <f t="shared" si="10"/>
        <v>451.3</v>
      </c>
      <c r="Y78" s="60">
        <f t="shared" si="10"/>
        <v>487.1</v>
      </c>
      <c r="Z78" s="60">
        <f t="shared" si="10"/>
        <v>289.2</v>
      </c>
      <c r="AA78" s="60">
        <f t="shared" si="10"/>
        <v>290.20000000000005</v>
      </c>
      <c r="AB78" s="60">
        <f t="shared" si="10"/>
        <v>517.20000000000005</v>
      </c>
      <c r="AC78" s="60">
        <f t="shared" si="10"/>
        <v>518.6</v>
      </c>
      <c r="AD78" s="60">
        <f t="shared" si="10"/>
        <v>486</v>
      </c>
      <c r="AE78" s="60">
        <f t="shared" si="10"/>
        <v>494</v>
      </c>
      <c r="AF78" s="60">
        <f t="shared" si="10"/>
        <v>499</v>
      </c>
      <c r="AG78" s="88">
        <f>SUM(AG67:AG77)</f>
        <v>0</v>
      </c>
      <c r="AH78" s="47">
        <f t="shared" si="8"/>
        <v>569.1</v>
      </c>
      <c r="AI78" s="48">
        <f t="shared" si="9"/>
        <v>289.2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1061.24</v>
      </c>
      <c r="C83" s="95">
        <f t="shared" ref="C83:AG83" si="11">C44+C48+C66+C62+C78+C82</f>
        <v>1036.44</v>
      </c>
      <c r="D83" s="95">
        <f t="shared" si="11"/>
        <v>1052.74</v>
      </c>
      <c r="E83" s="95">
        <f t="shared" si="11"/>
        <v>1012.54</v>
      </c>
      <c r="F83" s="95">
        <f t="shared" si="11"/>
        <v>1055.94</v>
      </c>
      <c r="G83" s="95">
        <f t="shared" si="11"/>
        <v>1046.74</v>
      </c>
      <c r="H83" s="95">
        <f t="shared" si="11"/>
        <v>1155.24</v>
      </c>
      <c r="I83" s="95">
        <f t="shared" si="11"/>
        <v>1185.74</v>
      </c>
      <c r="J83" s="95">
        <f t="shared" si="11"/>
        <v>1283.74</v>
      </c>
      <c r="K83" s="95">
        <f t="shared" si="11"/>
        <v>1214.74</v>
      </c>
      <c r="L83" s="95">
        <f t="shared" si="11"/>
        <v>1262.74</v>
      </c>
      <c r="M83" s="95">
        <f t="shared" si="11"/>
        <v>1309.74</v>
      </c>
      <c r="N83" s="95">
        <f t="shared" si="11"/>
        <v>1283.1400000000001</v>
      </c>
      <c r="O83" s="95">
        <f t="shared" si="11"/>
        <v>1279.2399999999998</v>
      </c>
      <c r="P83" s="95">
        <f t="shared" si="11"/>
        <v>1361.2399999999998</v>
      </c>
      <c r="Q83" s="95">
        <f t="shared" si="11"/>
        <v>1315.9399999999998</v>
      </c>
      <c r="R83" s="95">
        <f t="shared" si="11"/>
        <v>1299.71</v>
      </c>
      <c r="S83" s="95">
        <f t="shared" si="11"/>
        <v>1281.1399999999999</v>
      </c>
      <c r="T83" s="95">
        <f t="shared" si="11"/>
        <v>1354.84</v>
      </c>
      <c r="U83" s="95">
        <f t="shared" si="11"/>
        <v>1355.84</v>
      </c>
      <c r="V83" s="95">
        <f t="shared" si="11"/>
        <v>1319.54</v>
      </c>
      <c r="W83" s="95">
        <f t="shared" si="11"/>
        <v>1271.74</v>
      </c>
      <c r="X83" s="95">
        <f t="shared" si="11"/>
        <v>1321.94</v>
      </c>
      <c r="Y83" s="95">
        <f t="shared" si="11"/>
        <v>1491.44</v>
      </c>
      <c r="Z83" s="95">
        <f t="shared" si="11"/>
        <v>1411.64</v>
      </c>
      <c r="AA83" s="95">
        <f t="shared" si="11"/>
        <v>1347.44</v>
      </c>
      <c r="AB83" s="95">
        <f t="shared" si="11"/>
        <v>1293.1400000000001</v>
      </c>
      <c r="AC83" s="95">
        <f t="shared" si="11"/>
        <v>1238.6399999999999</v>
      </c>
      <c r="AD83" s="95">
        <f t="shared" si="11"/>
        <v>1208.04</v>
      </c>
      <c r="AE83" s="95">
        <f t="shared" si="11"/>
        <v>1204.54</v>
      </c>
      <c r="AF83" s="95">
        <f t="shared" si="11"/>
        <v>1112.04</v>
      </c>
      <c r="AG83" s="61">
        <f t="shared" si="11"/>
        <v>2004.1900000000003</v>
      </c>
      <c r="AH83" s="47">
        <f>MAX(B83:AF83)</f>
        <v>1491.44</v>
      </c>
      <c r="AI83" s="48">
        <f>MIN(B83:AF83)</f>
        <v>1012.54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150</v>
      </c>
      <c r="M84" s="97">
        <v>150</v>
      </c>
      <c r="N84" s="97">
        <v>120</v>
      </c>
      <c r="O84" s="97">
        <v>70</v>
      </c>
      <c r="P84" s="97"/>
      <c r="Q84" s="97"/>
      <c r="R84" s="97"/>
      <c r="S84" s="97"/>
      <c r="T84" s="97"/>
      <c r="U84" s="97"/>
      <c r="V84" s="97"/>
      <c r="W84" s="97"/>
      <c r="X84" s="97"/>
      <c r="Y84" s="97">
        <v>160</v>
      </c>
      <c r="Z84" s="97">
        <v>160</v>
      </c>
      <c r="AA84" s="97">
        <v>160</v>
      </c>
      <c r="AB84" s="97">
        <v>120</v>
      </c>
      <c r="AC84" s="97">
        <v>80</v>
      </c>
      <c r="AD84" s="97">
        <v>0</v>
      </c>
      <c r="AE84" s="97">
        <v>0</v>
      </c>
      <c r="AF84" s="97">
        <v>0</v>
      </c>
      <c r="AG84" s="88"/>
      <c r="AH84" s="47">
        <f t="shared" si="8"/>
        <v>160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1061.24</v>
      </c>
      <c r="C85" s="95">
        <f t="shared" ref="C85:AF85" si="12">C83+C84</f>
        <v>1036.44</v>
      </c>
      <c r="D85" s="95">
        <f t="shared" si="12"/>
        <v>1052.74</v>
      </c>
      <c r="E85" s="95">
        <f t="shared" si="12"/>
        <v>1012.54</v>
      </c>
      <c r="F85" s="95">
        <f t="shared" si="12"/>
        <v>1055.94</v>
      </c>
      <c r="G85" s="95">
        <f t="shared" si="12"/>
        <v>1046.74</v>
      </c>
      <c r="H85" s="95">
        <f t="shared" si="12"/>
        <v>1155.24</v>
      </c>
      <c r="I85" s="95">
        <f t="shared" si="12"/>
        <v>1185.74</v>
      </c>
      <c r="J85" s="95">
        <f t="shared" si="12"/>
        <v>1283.74</v>
      </c>
      <c r="K85" s="95">
        <f t="shared" si="12"/>
        <v>1364.74</v>
      </c>
      <c r="L85" s="95">
        <f t="shared" si="12"/>
        <v>1412.74</v>
      </c>
      <c r="M85" s="95">
        <f t="shared" si="12"/>
        <v>1459.74</v>
      </c>
      <c r="N85" s="95">
        <f t="shared" si="12"/>
        <v>1403.14</v>
      </c>
      <c r="O85" s="95">
        <f t="shared" si="12"/>
        <v>1349.2399999999998</v>
      </c>
      <c r="P85" s="95">
        <f t="shared" si="12"/>
        <v>1361.2399999999998</v>
      </c>
      <c r="Q85" s="95">
        <f t="shared" si="12"/>
        <v>1315.9399999999998</v>
      </c>
      <c r="R85" s="95">
        <f t="shared" si="12"/>
        <v>1299.71</v>
      </c>
      <c r="S85" s="95">
        <f t="shared" si="12"/>
        <v>1281.1399999999999</v>
      </c>
      <c r="T85" s="95">
        <f t="shared" si="12"/>
        <v>1354.84</v>
      </c>
      <c r="U85" s="95">
        <f t="shared" si="12"/>
        <v>1355.84</v>
      </c>
      <c r="V85" s="95">
        <f t="shared" si="12"/>
        <v>1319.54</v>
      </c>
      <c r="W85" s="95">
        <f t="shared" si="12"/>
        <v>1271.74</v>
      </c>
      <c r="X85" s="95">
        <f t="shared" si="12"/>
        <v>1321.94</v>
      </c>
      <c r="Y85" s="95">
        <f t="shared" si="12"/>
        <v>1651.44</v>
      </c>
      <c r="Z85" s="95">
        <f t="shared" si="12"/>
        <v>1571.64</v>
      </c>
      <c r="AA85" s="95">
        <f t="shared" si="12"/>
        <v>1507.44</v>
      </c>
      <c r="AB85" s="95">
        <f t="shared" si="12"/>
        <v>1413.14</v>
      </c>
      <c r="AC85" s="95">
        <f t="shared" si="12"/>
        <v>1318.6399999999999</v>
      </c>
      <c r="AD85" s="95">
        <f t="shared" si="12"/>
        <v>1208.04</v>
      </c>
      <c r="AE85" s="95">
        <f t="shared" si="12"/>
        <v>1204.54</v>
      </c>
      <c r="AF85" s="95">
        <f t="shared" si="12"/>
        <v>1112.04</v>
      </c>
      <c r="AG85" s="88">
        <f>AG82+AG78+AG66+AG62+AG44+AG84</f>
        <v>1466.0900000000001</v>
      </c>
      <c r="AH85" s="47">
        <f t="shared" si="8"/>
        <v>1651.44</v>
      </c>
      <c r="AI85" s="48">
        <f t="shared" si="9"/>
        <v>1012.54</v>
      </c>
    </row>
    <row r="86" spans="1:37" ht="15.75" thickBot="1" x14ac:dyDescent="0.3">
      <c r="A86" s="74" t="s">
        <v>97</v>
      </c>
      <c r="B86" s="95">
        <f t="shared" ref="B86:AF86" si="13">B85-B93</f>
        <v>1061.24</v>
      </c>
      <c r="C86" s="95">
        <f t="shared" si="13"/>
        <v>1036.44</v>
      </c>
      <c r="D86" s="95">
        <f t="shared" si="13"/>
        <v>1052.74</v>
      </c>
      <c r="E86" s="95">
        <f t="shared" si="13"/>
        <v>1012.54</v>
      </c>
      <c r="F86" s="95">
        <f t="shared" si="13"/>
        <v>1055.94</v>
      </c>
      <c r="G86" s="95">
        <f t="shared" si="13"/>
        <v>1046.74</v>
      </c>
      <c r="H86" s="95">
        <f t="shared" si="13"/>
        <v>1155.24</v>
      </c>
      <c r="I86" s="95">
        <f t="shared" si="13"/>
        <v>1185.74</v>
      </c>
      <c r="J86" s="95">
        <f t="shared" si="13"/>
        <v>1283.74</v>
      </c>
      <c r="K86" s="95">
        <f t="shared" si="13"/>
        <v>1364.74</v>
      </c>
      <c r="L86" s="95">
        <f t="shared" si="13"/>
        <v>1412.74</v>
      </c>
      <c r="M86" s="95">
        <f t="shared" si="13"/>
        <v>1459.74</v>
      </c>
      <c r="N86" s="95">
        <f t="shared" si="13"/>
        <v>1403.14</v>
      </c>
      <c r="O86" s="95">
        <f t="shared" si="13"/>
        <v>1349.2399999999998</v>
      </c>
      <c r="P86" s="95">
        <f t="shared" si="13"/>
        <v>1361.2399999999998</v>
      </c>
      <c r="Q86" s="95">
        <f t="shared" si="13"/>
        <v>1315.9399999999998</v>
      </c>
      <c r="R86" s="95">
        <f t="shared" si="13"/>
        <v>1299.71</v>
      </c>
      <c r="S86" s="95">
        <f t="shared" si="13"/>
        <v>1281.1399999999999</v>
      </c>
      <c r="T86" s="95">
        <f t="shared" si="13"/>
        <v>1354.84</v>
      </c>
      <c r="U86" s="95">
        <f t="shared" si="13"/>
        <v>1355.84</v>
      </c>
      <c r="V86" s="95">
        <f t="shared" si="13"/>
        <v>1319.54</v>
      </c>
      <c r="W86" s="95">
        <f t="shared" si="13"/>
        <v>1271.74</v>
      </c>
      <c r="X86" s="95">
        <f t="shared" si="13"/>
        <v>1321.94</v>
      </c>
      <c r="Y86" s="95">
        <f t="shared" si="13"/>
        <v>1651.44</v>
      </c>
      <c r="Z86" s="95">
        <f t="shared" si="13"/>
        <v>1571.64</v>
      </c>
      <c r="AA86" s="95">
        <f t="shared" si="13"/>
        <v>1507.44</v>
      </c>
      <c r="AB86" s="95">
        <f t="shared" si="13"/>
        <v>1413.14</v>
      </c>
      <c r="AC86" s="95">
        <f t="shared" si="13"/>
        <v>1318.6399999999999</v>
      </c>
      <c r="AD86" s="95">
        <f t="shared" si="13"/>
        <v>1208.04</v>
      </c>
      <c r="AE86" s="95">
        <f t="shared" si="13"/>
        <v>1204.54</v>
      </c>
      <c r="AF86" s="95">
        <f t="shared" si="13"/>
        <v>1112.04</v>
      </c>
      <c r="AG86" s="88"/>
      <c r="AH86" s="47">
        <f t="shared" si="8"/>
        <v>1651.44</v>
      </c>
      <c r="AI86" s="48">
        <f t="shared" si="9"/>
        <v>1012.54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492</v>
      </c>
      <c r="C94" s="60">
        <f t="shared" si="14"/>
        <v>483</v>
      </c>
      <c r="D94" s="60">
        <f t="shared" si="14"/>
        <v>490</v>
      </c>
      <c r="E94" s="60">
        <f t="shared" si="14"/>
        <v>454.8</v>
      </c>
      <c r="F94" s="60">
        <f t="shared" si="14"/>
        <v>471.2</v>
      </c>
      <c r="G94" s="60">
        <f t="shared" si="14"/>
        <v>452</v>
      </c>
      <c r="H94" s="60">
        <f t="shared" si="14"/>
        <v>470.5</v>
      </c>
      <c r="I94" s="60">
        <f t="shared" si="14"/>
        <v>469.5</v>
      </c>
      <c r="J94" s="60">
        <f t="shared" si="14"/>
        <v>467</v>
      </c>
      <c r="K94" s="60">
        <f t="shared" si="14"/>
        <v>307</v>
      </c>
      <c r="L94" s="60">
        <f t="shared" si="14"/>
        <v>301</v>
      </c>
      <c r="M94" s="60">
        <f t="shared" si="14"/>
        <v>331.1</v>
      </c>
      <c r="N94" s="60">
        <f t="shared" si="14"/>
        <v>493</v>
      </c>
      <c r="O94" s="60">
        <f t="shared" si="14"/>
        <v>531.1</v>
      </c>
      <c r="P94" s="60">
        <f t="shared" si="14"/>
        <v>569.1</v>
      </c>
      <c r="Q94" s="60">
        <f t="shared" si="14"/>
        <v>490.5</v>
      </c>
      <c r="R94" s="60">
        <f t="shared" si="14"/>
        <v>475.90000000000003</v>
      </c>
      <c r="S94" s="60">
        <f t="shared" si="14"/>
        <v>505.5</v>
      </c>
      <c r="T94" s="60">
        <f t="shared" si="14"/>
        <v>499</v>
      </c>
      <c r="U94" s="60">
        <f t="shared" si="14"/>
        <v>503.7</v>
      </c>
      <c r="V94" s="60">
        <f t="shared" si="14"/>
        <v>472.8</v>
      </c>
      <c r="W94" s="60">
        <f t="shared" si="14"/>
        <v>476.2</v>
      </c>
      <c r="X94" s="60">
        <f t="shared" si="14"/>
        <v>451.3</v>
      </c>
      <c r="Y94" s="60">
        <f t="shared" si="14"/>
        <v>487.1</v>
      </c>
      <c r="Z94" s="60">
        <f t="shared" si="14"/>
        <v>289.2</v>
      </c>
      <c r="AA94" s="60">
        <f t="shared" si="14"/>
        <v>290.20000000000005</v>
      </c>
      <c r="AB94" s="60">
        <f t="shared" si="14"/>
        <v>517.20000000000005</v>
      </c>
      <c r="AC94" s="60">
        <f t="shared" si="14"/>
        <v>518.6</v>
      </c>
      <c r="AD94" s="60">
        <f t="shared" si="14"/>
        <v>486</v>
      </c>
      <c r="AE94" s="60">
        <f t="shared" si="14"/>
        <v>494</v>
      </c>
      <c r="AF94" s="60">
        <f t="shared" si="14"/>
        <v>499</v>
      </c>
      <c r="AG94" s="88"/>
      <c r="AH94" s="47">
        <f t="shared" si="8"/>
        <v>569.1</v>
      </c>
      <c r="AI94" s="48">
        <f t="shared" si="9"/>
        <v>289.2</v>
      </c>
    </row>
    <row r="95" spans="1:37" x14ac:dyDescent="0.25">
      <c r="A95" s="100" t="s">
        <v>103</v>
      </c>
      <c r="B95" s="101">
        <v>50.164999999999999</v>
      </c>
      <c r="C95" s="101">
        <v>49.91</v>
      </c>
      <c r="D95" s="101">
        <v>50.01</v>
      </c>
      <c r="E95" s="101">
        <v>50.009</v>
      </c>
      <c r="F95" s="101">
        <v>50.009</v>
      </c>
      <c r="G95" s="101">
        <v>49.97</v>
      </c>
      <c r="H95" s="101">
        <v>50.003999999999998</v>
      </c>
      <c r="I95" s="101">
        <v>49.942999999999998</v>
      </c>
      <c r="J95" s="101">
        <v>49.94</v>
      </c>
      <c r="K95" s="101">
        <v>50.070999999999998</v>
      </c>
      <c r="L95" s="101">
        <v>50.076000000000001</v>
      </c>
      <c r="M95" s="101">
        <v>50.173000000000002</v>
      </c>
      <c r="N95" s="101">
        <v>50.110999999999997</v>
      </c>
      <c r="O95" s="101">
        <v>50.045000000000002</v>
      </c>
      <c r="P95" s="101">
        <v>50</v>
      </c>
      <c r="Q95" s="101">
        <v>49.984000000000002</v>
      </c>
      <c r="R95" s="101">
        <v>49.962000000000003</v>
      </c>
      <c r="S95" s="101">
        <v>50.003999999999998</v>
      </c>
      <c r="T95" s="101">
        <v>49.9</v>
      </c>
      <c r="U95" s="101">
        <v>49.905999999999999</v>
      </c>
      <c r="V95" s="101">
        <v>49.905999999999999</v>
      </c>
      <c r="W95" s="101">
        <v>50.034999999999997</v>
      </c>
      <c r="X95" s="101">
        <v>49.968000000000004</v>
      </c>
      <c r="Y95" s="101">
        <v>49.936999999999998</v>
      </c>
      <c r="Z95" s="101">
        <v>49.853999999999999</v>
      </c>
      <c r="AA95" s="101">
        <v>49.881</v>
      </c>
      <c r="AB95" s="101">
        <v>50.09</v>
      </c>
      <c r="AC95" s="101">
        <v>50.03</v>
      </c>
      <c r="AD95" s="101">
        <v>49.92</v>
      </c>
      <c r="AE95" s="101">
        <v>50.07</v>
      </c>
      <c r="AF95" s="101">
        <v>49.95</v>
      </c>
      <c r="AG95" s="102"/>
      <c r="AH95" s="47">
        <f t="shared" si="8"/>
        <v>50.173000000000002</v>
      </c>
      <c r="AI95" s="48">
        <f t="shared" si="9"/>
        <v>49.853999999999999</v>
      </c>
    </row>
    <row r="96" spans="1:37" x14ac:dyDescent="0.25">
      <c r="A96" s="103" t="s">
        <v>104</v>
      </c>
      <c r="B96" s="65">
        <v>128</v>
      </c>
      <c r="C96" s="65">
        <v>128</v>
      </c>
      <c r="D96" s="65">
        <v>128</v>
      </c>
      <c r="E96" s="65">
        <v>128.19999999999999</v>
      </c>
      <c r="F96" s="65">
        <v>128</v>
      </c>
      <c r="G96" s="65">
        <v>128.6</v>
      </c>
      <c r="H96" s="65">
        <v>127.1</v>
      </c>
      <c r="I96" s="65">
        <v>127.5</v>
      </c>
      <c r="J96" s="65">
        <v>126.4</v>
      </c>
      <c r="K96" s="65">
        <v>128.4</v>
      </c>
      <c r="L96" s="65">
        <v>126.5</v>
      </c>
      <c r="M96" s="65">
        <v>125.5</v>
      </c>
      <c r="N96" s="65">
        <v>126.8</v>
      </c>
      <c r="O96" s="65">
        <v>127.4</v>
      </c>
      <c r="P96" s="65">
        <v>127.4</v>
      </c>
      <c r="Q96" s="65">
        <v>127.8</v>
      </c>
      <c r="R96" s="65">
        <v>128</v>
      </c>
      <c r="S96" s="65">
        <v>126.5</v>
      </c>
      <c r="T96" s="65">
        <v>125.8</v>
      </c>
      <c r="U96" s="65">
        <v>125</v>
      </c>
      <c r="V96" s="65">
        <v>128.5</v>
      </c>
      <c r="W96" s="65">
        <v>129.5</v>
      </c>
      <c r="X96" s="65">
        <v>130</v>
      </c>
      <c r="Y96" s="65">
        <v>127.3</v>
      </c>
      <c r="Z96" s="65">
        <v>128.9</v>
      </c>
      <c r="AA96" s="65">
        <v>129.4</v>
      </c>
      <c r="AB96" s="65">
        <v>130.5</v>
      </c>
      <c r="AC96" s="65">
        <v>130.69999999999999</v>
      </c>
      <c r="AD96" s="65">
        <v>130</v>
      </c>
      <c r="AE96" s="65">
        <v>130</v>
      </c>
      <c r="AF96" s="65">
        <v>128</v>
      </c>
      <c r="AG96" s="104"/>
      <c r="AH96" s="47">
        <f t="shared" si="8"/>
        <v>130.69999999999999</v>
      </c>
      <c r="AI96" s="48">
        <f t="shared" si="9"/>
        <v>125</v>
      </c>
    </row>
    <row r="97" spans="1:35" x14ac:dyDescent="0.25">
      <c r="A97" s="103" t="s">
        <v>105</v>
      </c>
      <c r="B97" s="65">
        <v>132</v>
      </c>
      <c r="C97" s="65">
        <v>132</v>
      </c>
      <c r="D97" s="65">
        <v>132</v>
      </c>
      <c r="E97" s="65">
        <v>132.5</v>
      </c>
      <c r="F97" s="65">
        <v>132.30000000000001</v>
      </c>
      <c r="G97" s="65">
        <v>132.4</v>
      </c>
      <c r="H97" s="65">
        <v>130.9</v>
      </c>
      <c r="I97" s="65">
        <v>131.1</v>
      </c>
      <c r="J97" s="65">
        <v>129.9</v>
      </c>
      <c r="K97" s="65">
        <v>130.30000000000001</v>
      </c>
      <c r="L97" s="65">
        <v>128.6</v>
      </c>
      <c r="M97" s="65">
        <v>127.8</v>
      </c>
      <c r="N97" s="65">
        <v>129.30000000000001</v>
      </c>
      <c r="O97" s="65">
        <v>130.1</v>
      </c>
      <c r="P97" s="65">
        <v>130.1</v>
      </c>
      <c r="Q97" s="65">
        <v>130.9</v>
      </c>
      <c r="R97" s="65">
        <v>130.9</v>
      </c>
      <c r="S97" s="65">
        <v>129.4</v>
      </c>
      <c r="T97" s="65">
        <v>129</v>
      </c>
      <c r="U97" s="65">
        <v>128.5</v>
      </c>
      <c r="V97" s="65">
        <v>130.5</v>
      </c>
      <c r="W97" s="65">
        <v>130.9</v>
      </c>
      <c r="X97" s="65">
        <v>131.5</v>
      </c>
      <c r="Y97" s="65">
        <v>129.1</v>
      </c>
      <c r="Z97" s="65">
        <v>130.69999999999999</v>
      </c>
      <c r="AA97" s="65">
        <v>131</v>
      </c>
      <c r="AB97" s="65">
        <v>131.9</v>
      </c>
      <c r="AC97" s="65">
        <v>131.80000000000001</v>
      </c>
      <c r="AD97" s="65">
        <v>131</v>
      </c>
      <c r="AE97" s="65">
        <v>131</v>
      </c>
      <c r="AF97" s="65">
        <v>131.5</v>
      </c>
      <c r="AG97" s="104"/>
      <c r="AH97" s="47">
        <f t="shared" si="8"/>
        <v>132.5</v>
      </c>
      <c r="AI97" s="48">
        <f t="shared" si="9"/>
        <v>127.8</v>
      </c>
    </row>
    <row r="98" spans="1:35" x14ac:dyDescent="0.25">
      <c r="A98" s="103" t="s">
        <v>106</v>
      </c>
      <c r="B98" s="65">
        <v>132</v>
      </c>
      <c r="C98" s="65">
        <v>132</v>
      </c>
      <c r="D98" s="65">
        <v>133</v>
      </c>
      <c r="E98" s="65">
        <v>132.30000000000001</v>
      </c>
      <c r="F98" s="65">
        <v>132.1</v>
      </c>
      <c r="G98" s="65">
        <v>131.6</v>
      </c>
      <c r="H98" s="65">
        <v>131.5</v>
      </c>
      <c r="I98" s="65">
        <v>128.4</v>
      </c>
      <c r="J98" s="65">
        <v>127</v>
      </c>
      <c r="K98" s="65">
        <v>129.5</v>
      </c>
      <c r="L98" s="65">
        <v>126.9</v>
      </c>
      <c r="M98" s="65">
        <v>128.1</v>
      </c>
      <c r="N98" s="65">
        <v>126.6</v>
      </c>
      <c r="O98" s="65">
        <v>128.19999999999999</v>
      </c>
      <c r="P98" s="65">
        <v>128.19999999999999</v>
      </c>
      <c r="Q98" s="65">
        <v>129.19999999999999</v>
      </c>
      <c r="R98" s="65">
        <v>129.6</v>
      </c>
      <c r="S98" s="65">
        <v>126.1</v>
      </c>
      <c r="T98" s="65">
        <v>126.2</v>
      </c>
      <c r="U98" s="65">
        <v>127.7</v>
      </c>
      <c r="V98" s="65">
        <v>130.5</v>
      </c>
      <c r="W98" s="65">
        <v>130.9</v>
      </c>
      <c r="X98" s="65">
        <v>130.30000000000001</v>
      </c>
      <c r="Y98" s="65">
        <v>127.9</v>
      </c>
      <c r="Z98" s="65">
        <v>130.9</v>
      </c>
      <c r="AA98" s="65">
        <v>129</v>
      </c>
      <c r="AB98" s="65">
        <v>129.4</v>
      </c>
      <c r="AC98" s="65">
        <v>131</v>
      </c>
      <c r="AD98" s="65">
        <v>131</v>
      </c>
      <c r="AE98" s="65">
        <v>131</v>
      </c>
      <c r="AF98" s="65">
        <v>131</v>
      </c>
      <c r="AG98" s="104"/>
      <c r="AH98" s="47">
        <f t="shared" si="8"/>
        <v>133</v>
      </c>
      <c r="AI98" s="48">
        <f t="shared" si="9"/>
        <v>126.1</v>
      </c>
    </row>
    <row r="99" spans="1:35" x14ac:dyDescent="0.25">
      <c r="A99" s="105" t="s">
        <v>107</v>
      </c>
      <c r="B99" s="65">
        <v>134</v>
      </c>
      <c r="C99" s="65">
        <v>134</v>
      </c>
      <c r="D99" s="65">
        <v>135</v>
      </c>
      <c r="E99" s="65">
        <v>135.30000000000001</v>
      </c>
      <c r="F99" s="65">
        <v>135.19999999999999</v>
      </c>
      <c r="G99" s="65">
        <v>134</v>
      </c>
      <c r="H99" s="65">
        <v>134.5</v>
      </c>
      <c r="I99" s="65">
        <v>131.4</v>
      </c>
      <c r="J99" s="65">
        <v>130.6</v>
      </c>
      <c r="K99" s="65">
        <v>131.9</v>
      </c>
      <c r="L99" s="65">
        <v>128</v>
      </c>
      <c r="M99" s="65">
        <v>131.4</v>
      </c>
      <c r="N99" s="65">
        <v>129.4</v>
      </c>
      <c r="O99" s="65">
        <v>130.69999999999999</v>
      </c>
      <c r="P99" s="65">
        <v>130.69999999999999</v>
      </c>
      <c r="Q99" s="65">
        <v>131.1</v>
      </c>
      <c r="R99" s="65">
        <v>133.4</v>
      </c>
      <c r="S99" s="65">
        <v>128.69999999999999</v>
      </c>
      <c r="T99" s="65">
        <v>130.19999999999999</v>
      </c>
      <c r="U99" s="65">
        <v>131.5</v>
      </c>
      <c r="V99" s="65">
        <v>131.30000000000001</v>
      </c>
      <c r="W99" s="65">
        <v>131.4</v>
      </c>
      <c r="X99" s="65">
        <v>131</v>
      </c>
      <c r="Y99" s="65">
        <v>130.6</v>
      </c>
      <c r="Z99" s="65">
        <v>132.19999999999999</v>
      </c>
      <c r="AA99" s="65">
        <v>131.6</v>
      </c>
      <c r="AB99" s="65">
        <v>132</v>
      </c>
      <c r="AC99" s="65">
        <v>133</v>
      </c>
      <c r="AD99" s="65">
        <v>132</v>
      </c>
      <c r="AE99" s="65">
        <v>132</v>
      </c>
      <c r="AF99" s="65">
        <v>133</v>
      </c>
      <c r="AG99" s="104"/>
      <c r="AH99" s="47">
        <f t="shared" si="8"/>
        <v>135.30000000000001</v>
      </c>
      <c r="AI99" s="48">
        <f t="shared" si="9"/>
        <v>128</v>
      </c>
    </row>
    <row r="100" spans="1:35" x14ac:dyDescent="0.25">
      <c r="A100" s="105" t="s">
        <v>108</v>
      </c>
      <c r="B100" s="106">
        <v>133</v>
      </c>
      <c r="C100" s="106">
        <v>133</v>
      </c>
      <c r="D100" s="106">
        <v>132</v>
      </c>
      <c r="E100" s="106">
        <v>132.1</v>
      </c>
      <c r="F100" s="106">
        <v>132.80000000000001</v>
      </c>
      <c r="G100" s="106">
        <v>133.30000000000001</v>
      </c>
      <c r="H100" s="106">
        <v>133.30000000000001</v>
      </c>
      <c r="I100" s="106">
        <v>133.69999999999999</v>
      </c>
      <c r="J100" s="106">
        <v>132.6</v>
      </c>
      <c r="K100" s="106">
        <v>135.9</v>
      </c>
      <c r="L100" s="106">
        <v>134.30000000000001</v>
      </c>
      <c r="M100" s="106">
        <v>132.30000000000001</v>
      </c>
      <c r="N100" s="106">
        <v>130.69999999999999</v>
      </c>
      <c r="O100" s="106">
        <v>131.1</v>
      </c>
      <c r="P100" s="106">
        <v>131.1</v>
      </c>
      <c r="Q100" s="106">
        <v>131.6</v>
      </c>
      <c r="R100" s="106">
        <v>132.19999999999999</v>
      </c>
      <c r="S100" s="106">
        <v>133</v>
      </c>
      <c r="T100" s="106">
        <v>133.69999999999999</v>
      </c>
      <c r="U100" s="106">
        <v>132.69999999999999</v>
      </c>
      <c r="V100" s="106">
        <v>136.6</v>
      </c>
      <c r="W100" s="106">
        <v>135.69999999999999</v>
      </c>
      <c r="X100" s="106">
        <v>134.4</v>
      </c>
      <c r="Y100" s="106">
        <v>130.9</v>
      </c>
      <c r="Z100" s="106">
        <v>135.69999999999999</v>
      </c>
      <c r="AA100" s="106">
        <v>136.4</v>
      </c>
      <c r="AB100" s="106">
        <v>136.30000000000001</v>
      </c>
      <c r="AC100" s="106">
        <v>136.5</v>
      </c>
      <c r="AD100" s="106">
        <v>134.80000000000001</v>
      </c>
      <c r="AE100" s="106">
        <v>134.80000000000001</v>
      </c>
      <c r="AF100" s="106">
        <v>131.5</v>
      </c>
      <c r="AG100" s="107"/>
      <c r="AH100" s="47">
        <f t="shared" si="8"/>
        <v>136.6</v>
      </c>
      <c r="AI100" s="48">
        <f t="shared" si="9"/>
        <v>130.69999999999999</v>
      </c>
    </row>
    <row r="101" spans="1:35" x14ac:dyDescent="0.25">
      <c r="A101" s="103" t="s">
        <v>109</v>
      </c>
      <c r="B101" s="65">
        <v>133</v>
      </c>
      <c r="C101" s="65">
        <v>133</v>
      </c>
      <c r="D101" s="65">
        <v>138</v>
      </c>
      <c r="E101" s="65">
        <v>138.69999999999999</v>
      </c>
      <c r="F101" s="65">
        <v>137.1</v>
      </c>
      <c r="G101" s="65">
        <v>135.4</v>
      </c>
      <c r="H101" s="65">
        <v>139.6</v>
      </c>
      <c r="I101" s="65">
        <v>134.80000000000001</v>
      </c>
      <c r="J101" s="65">
        <v>132</v>
      </c>
      <c r="K101" s="65">
        <v>133.4</v>
      </c>
      <c r="L101" s="65">
        <v>130.4</v>
      </c>
      <c r="M101" s="65">
        <v>130.19999999999999</v>
      </c>
      <c r="N101" s="65">
        <v>128.80000000000001</v>
      </c>
      <c r="O101" s="65">
        <v>126.3</v>
      </c>
      <c r="P101" s="65">
        <v>126.3</v>
      </c>
      <c r="Q101" s="65">
        <v>134.1</v>
      </c>
      <c r="R101" s="65">
        <v>134.6</v>
      </c>
      <c r="S101" s="65">
        <v>134.19999999999999</v>
      </c>
      <c r="T101" s="65">
        <v>127.8</v>
      </c>
      <c r="U101" s="65">
        <v>129.6</v>
      </c>
      <c r="V101" s="65">
        <v>134</v>
      </c>
      <c r="W101" s="65">
        <v>135.30000000000001</v>
      </c>
      <c r="X101" s="65">
        <v>136.5</v>
      </c>
      <c r="Y101" s="65">
        <v>136</v>
      </c>
      <c r="Z101" s="65">
        <v>136</v>
      </c>
      <c r="AA101" s="65">
        <v>131.1</v>
      </c>
      <c r="AB101" s="65">
        <v>131.1</v>
      </c>
      <c r="AC101" s="65">
        <v>132.6</v>
      </c>
      <c r="AD101" s="65">
        <v>133</v>
      </c>
      <c r="AE101" s="65">
        <v>133</v>
      </c>
      <c r="AF101" s="65">
        <v>132</v>
      </c>
      <c r="AG101" s="104"/>
      <c r="AH101" s="47">
        <f t="shared" si="8"/>
        <v>139.6</v>
      </c>
      <c r="AI101" s="48">
        <f t="shared" si="9"/>
        <v>126.3</v>
      </c>
    </row>
    <row r="102" spans="1:35" ht="15.75" thickBot="1" x14ac:dyDescent="0.3">
      <c r="A102" s="103" t="s">
        <v>110</v>
      </c>
      <c r="B102" s="92">
        <v>66.3</v>
      </c>
      <c r="C102" s="92">
        <v>66.3</v>
      </c>
      <c r="D102" s="92">
        <v>66.599999999999994</v>
      </c>
      <c r="E102" s="92">
        <v>66.8</v>
      </c>
      <c r="F102" s="92">
        <v>66.8</v>
      </c>
      <c r="G102" s="92">
        <v>66.5</v>
      </c>
      <c r="H102" s="92">
        <v>65.900000000000006</v>
      </c>
      <c r="I102" s="92">
        <v>65.8</v>
      </c>
      <c r="J102" s="92">
        <v>65</v>
      </c>
      <c r="K102" s="92">
        <v>65.3</v>
      </c>
      <c r="L102" s="92">
        <v>64.5</v>
      </c>
      <c r="M102" s="92">
        <v>64</v>
      </c>
      <c r="N102" s="92">
        <v>64.7</v>
      </c>
      <c r="O102" s="92">
        <v>65.099999999999994</v>
      </c>
      <c r="P102" s="92">
        <v>65.099999999999994</v>
      </c>
      <c r="Q102" s="92">
        <v>65.599999999999994</v>
      </c>
      <c r="R102" s="92">
        <v>65.400000000000006</v>
      </c>
      <c r="S102" s="92">
        <v>65</v>
      </c>
      <c r="T102" s="92">
        <v>64.7</v>
      </c>
      <c r="U102" s="92">
        <v>64.400000000000006</v>
      </c>
      <c r="V102" s="92">
        <v>65.3</v>
      </c>
      <c r="W102" s="92">
        <v>65.599999999999994</v>
      </c>
      <c r="X102" s="92">
        <v>66</v>
      </c>
      <c r="Y102" s="92">
        <v>64.8</v>
      </c>
      <c r="Z102" s="92">
        <v>65.400000000000006</v>
      </c>
      <c r="AA102" s="92">
        <v>65.599999999999994</v>
      </c>
      <c r="AB102" s="92">
        <v>66.2</v>
      </c>
      <c r="AC102" s="92">
        <v>66.3</v>
      </c>
      <c r="AD102" s="92">
        <v>66.099999999999994</v>
      </c>
      <c r="AE102" s="92">
        <v>66.099999999999994</v>
      </c>
      <c r="AF102" s="92">
        <v>66.5</v>
      </c>
      <c r="AG102" s="108"/>
      <c r="AH102" s="47">
        <f t="shared" si="8"/>
        <v>66.8</v>
      </c>
      <c r="AI102" s="48">
        <f t="shared" si="9"/>
        <v>64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146.19999999999999</v>
      </c>
      <c r="C104" s="111">
        <f t="shared" si="15"/>
        <v>139.13999999999999</v>
      </c>
      <c r="D104" s="111">
        <f t="shared" si="15"/>
        <v>126.45</v>
      </c>
      <c r="E104" s="111">
        <f t="shared" si="15"/>
        <v>121.74000000000001</v>
      </c>
      <c r="F104" s="111">
        <f t="shared" si="15"/>
        <v>132.63999999999999</v>
      </c>
      <c r="G104" s="111">
        <f t="shared" si="15"/>
        <v>151.64000000000001</v>
      </c>
      <c r="H104" s="111">
        <f t="shared" si="15"/>
        <v>180.14</v>
      </c>
      <c r="I104" s="111">
        <f t="shared" si="15"/>
        <v>207.14000000000001</v>
      </c>
      <c r="J104" s="111">
        <f t="shared" si="15"/>
        <v>253.64</v>
      </c>
      <c r="K104" s="111">
        <f t="shared" si="15"/>
        <v>313.94</v>
      </c>
      <c r="L104" s="111">
        <f t="shared" si="15"/>
        <v>339.04</v>
      </c>
      <c r="M104" s="111">
        <f t="shared" si="15"/>
        <v>357.04</v>
      </c>
      <c r="N104" s="111">
        <f t="shared" si="15"/>
        <v>342.54</v>
      </c>
      <c r="O104" s="111">
        <f t="shared" si="15"/>
        <v>328.74</v>
      </c>
      <c r="P104" s="111">
        <v>42</v>
      </c>
      <c r="Q104" s="111">
        <f t="shared" si="15"/>
        <v>253.50000000000003</v>
      </c>
      <c r="R104" s="111">
        <f t="shared" si="15"/>
        <v>250.89999999999998</v>
      </c>
      <c r="S104" s="111">
        <f t="shared" si="15"/>
        <v>263.3</v>
      </c>
      <c r="T104" s="111">
        <f t="shared" si="15"/>
        <v>269.89999999999998</v>
      </c>
      <c r="U104" s="111">
        <f t="shared" si="15"/>
        <v>276.5</v>
      </c>
      <c r="V104" s="111">
        <f t="shared" si="15"/>
        <v>297.3</v>
      </c>
      <c r="W104" s="111">
        <f t="shared" si="15"/>
        <v>322.3</v>
      </c>
      <c r="X104" s="111">
        <f t="shared" si="15"/>
        <v>365.8</v>
      </c>
      <c r="Y104" s="111">
        <f t="shared" si="15"/>
        <v>404.6</v>
      </c>
      <c r="Z104" s="111">
        <f t="shared" si="15"/>
        <v>402.2</v>
      </c>
      <c r="AA104" s="111">
        <f t="shared" si="15"/>
        <v>380.2</v>
      </c>
      <c r="AB104" s="111">
        <f t="shared" si="15"/>
        <v>324.5</v>
      </c>
      <c r="AC104" s="111">
        <f t="shared" si="15"/>
        <v>311.60000000000002</v>
      </c>
      <c r="AD104" s="111">
        <f t="shared" si="15"/>
        <v>291.89999999999998</v>
      </c>
      <c r="AE104" s="111">
        <f t="shared" si="15"/>
        <v>217.89999999999998</v>
      </c>
      <c r="AF104" s="111">
        <f t="shared" si="15"/>
        <v>175.2</v>
      </c>
      <c r="AG104" s="112"/>
      <c r="AH104" s="47">
        <f t="shared" si="8"/>
        <v>404.6</v>
      </c>
      <c r="AI104" s="48">
        <f t="shared" si="9"/>
        <v>42</v>
      </c>
    </row>
    <row r="105" spans="1:35" x14ac:dyDescent="0.25">
      <c r="A105" s="100" t="s">
        <v>113</v>
      </c>
      <c r="B105" s="113">
        <v>-10</v>
      </c>
      <c r="C105" s="113">
        <v>-18</v>
      </c>
      <c r="D105" s="113">
        <v>-16</v>
      </c>
      <c r="E105" s="113">
        <v>-19</v>
      </c>
      <c r="F105" s="113">
        <v>-14</v>
      </c>
      <c r="G105" s="113">
        <v>-12.1</v>
      </c>
      <c r="H105" s="113">
        <v>0</v>
      </c>
      <c r="I105" s="113">
        <v>4.9000000000000004</v>
      </c>
      <c r="J105" s="113">
        <v>26.3</v>
      </c>
      <c r="K105" s="113">
        <v>37.9</v>
      </c>
      <c r="L105" s="113">
        <v>36.700000000000003</v>
      </c>
      <c r="M105" s="113">
        <v>29.8</v>
      </c>
      <c r="N105" s="113">
        <v>20.3</v>
      </c>
      <c r="O105" s="113">
        <v>17.399999999999999</v>
      </c>
      <c r="P105" s="113">
        <v>17.399999999999999</v>
      </c>
      <c r="Q105" s="113">
        <v>15.3</v>
      </c>
      <c r="R105" s="113">
        <v>11.8</v>
      </c>
      <c r="S105" s="113">
        <v>6.7</v>
      </c>
      <c r="T105" s="113">
        <v>10.5</v>
      </c>
      <c r="U105" s="113">
        <v>12.9</v>
      </c>
      <c r="V105" s="113">
        <v>7.7</v>
      </c>
      <c r="W105" s="113">
        <v>14.2</v>
      </c>
      <c r="X105" s="113">
        <v>23.5</v>
      </c>
      <c r="Y105" s="113">
        <v>23</v>
      </c>
      <c r="Z105" s="113">
        <v>21</v>
      </c>
      <c r="AA105" s="113">
        <v>13</v>
      </c>
      <c r="AB105" s="113">
        <v>14.5</v>
      </c>
      <c r="AC105" s="113">
        <v>17</v>
      </c>
      <c r="AD105" s="113">
        <v>15</v>
      </c>
      <c r="AE105" s="113">
        <v>14</v>
      </c>
      <c r="AF105" s="113">
        <v>5</v>
      </c>
      <c r="AG105" s="114">
        <v>75</v>
      </c>
      <c r="AH105" s="47">
        <f t="shared" si="8"/>
        <v>37.9</v>
      </c>
      <c r="AI105" s="48">
        <f t="shared" si="9"/>
        <v>-19</v>
      </c>
    </row>
    <row r="106" spans="1:35" x14ac:dyDescent="0.25">
      <c r="A106" s="103" t="s">
        <v>114</v>
      </c>
      <c r="B106" s="115">
        <v>-7</v>
      </c>
      <c r="C106" s="115">
        <v>-18</v>
      </c>
      <c r="D106" s="115">
        <v>-16.690000000000001</v>
      </c>
      <c r="E106" s="115">
        <v>-19.8</v>
      </c>
      <c r="F106" s="115">
        <v>-14</v>
      </c>
      <c r="G106" s="115">
        <v>-12.6</v>
      </c>
      <c r="H106" s="115">
        <v>1.6</v>
      </c>
      <c r="I106" s="115">
        <v>10.9</v>
      </c>
      <c r="J106" s="115">
        <v>36.6</v>
      </c>
      <c r="K106" s="115">
        <v>48.8</v>
      </c>
      <c r="L106" s="115">
        <v>44.2</v>
      </c>
      <c r="M106" s="115">
        <v>32.700000000000003</v>
      </c>
      <c r="N106" s="115">
        <v>21.1</v>
      </c>
      <c r="O106" s="115">
        <v>16.899999999999999</v>
      </c>
      <c r="P106" s="115">
        <v>16.899999999999999</v>
      </c>
      <c r="Q106" s="115">
        <v>15.3</v>
      </c>
      <c r="R106" s="115">
        <v>11.1</v>
      </c>
      <c r="S106" s="115">
        <v>7.9</v>
      </c>
      <c r="T106" s="115">
        <v>8.8000000000000007</v>
      </c>
      <c r="U106" s="115">
        <v>9.8000000000000007</v>
      </c>
      <c r="V106" s="115">
        <v>10</v>
      </c>
      <c r="W106" s="115">
        <v>14.5</v>
      </c>
      <c r="X106" s="115">
        <v>27.4</v>
      </c>
      <c r="Y106" s="115">
        <v>25</v>
      </c>
      <c r="Z106" s="115">
        <v>22.6</v>
      </c>
      <c r="AA106" s="115">
        <v>10.8</v>
      </c>
      <c r="AB106" s="115">
        <v>12.9</v>
      </c>
      <c r="AC106" s="115">
        <v>18</v>
      </c>
      <c r="AD106" s="115">
        <v>16</v>
      </c>
      <c r="AE106" s="115">
        <v>20</v>
      </c>
      <c r="AF106" s="115">
        <v>7</v>
      </c>
      <c r="AG106" s="114">
        <v>240</v>
      </c>
      <c r="AH106" s="47">
        <f t="shared" si="8"/>
        <v>48.8</v>
      </c>
      <c r="AI106" s="48">
        <f t="shared" si="9"/>
        <v>-19.8</v>
      </c>
    </row>
    <row r="107" spans="1:35" x14ac:dyDescent="0.25">
      <c r="A107" s="103" t="s">
        <v>115</v>
      </c>
      <c r="B107" s="115">
        <v>-30</v>
      </c>
      <c r="C107" s="115">
        <v>-23</v>
      </c>
      <c r="D107" s="115">
        <v>-33</v>
      </c>
      <c r="E107" s="115">
        <v>-30</v>
      </c>
      <c r="F107" s="115">
        <v>-30</v>
      </c>
      <c r="G107" s="115">
        <v>-23</v>
      </c>
      <c r="H107" s="115">
        <v>-23</v>
      </c>
      <c r="I107" s="115">
        <v>-12</v>
      </c>
      <c r="J107" s="115">
        <v>-15</v>
      </c>
      <c r="K107" s="115">
        <v>11</v>
      </c>
      <c r="L107" s="115">
        <f>28+32</f>
        <v>60</v>
      </c>
      <c r="M107" s="115">
        <f>37.4+39.9</f>
        <v>77.3</v>
      </c>
      <c r="N107" s="115">
        <v>65</v>
      </c>
      <c r="O107" s="115">
        <v>57</v>
      </c>
      <c r="P107" s="115">
        <v>57</v>
      </c>
      <c r="Q107" s="115">
        <v>1.4</v>
      </c>
      <c r="R107" s="115">
        <v>4.0999999999999996</v>
      </c>
      <c r="S107" s="115">
        <v>7</v>
      </c>
      <c r="T107" s="115">
        <v>-5</v>
      </c>
      <c r="U107" s="115">
        <v>-7.6</v>
      </c>
      <c r="V107" s="115">
        <v>22</v>
      </c>
      <c r="W107" s="115">
        <v>42</v>
      </c>
      <c r="X107" s="115">
        <v>74</v>
      </c>
      <c r="Y107" s="115">
        <v>93</v>
      </c>
      <c r="Z107" s="115">
        <v>94</v>
      </c>
      <c r="AA107" s="115">
        <f>51.9+49.1</f>
        <v>101</v>
      </c>
      <c r="AB107" s="115">
        <f>15.9+31.9</f>
        <v>47.8</v>
      </c>
      <c r="AC107" s="115">
        <v>40</v>
      </c>
      <c r="AD107" s="115">
        <v>24</v>
      </c>
      <c r="AE107" s="115">
        <v>-20</v>
      </c>
      <c r="AF107" s="115">
        <v>-30</v>
      </c>
      <c r="AG107" s="114">
        <v>240</v>
      </c>
      <c r="AH107" s="47">
        <f t="shared" si="8"/>
        <v>101</v>
      </c>
      <c r="AI107" s="48">
        <f t="shared" si="9"/>
        <v>-33</v>
      </c>
    </row>
    <row r="108" spans="1:35" x14ac:dyDescent="0.25">
      <c r="A108" s="103" t="s">
        <v>116</v>
      </c>
      <c r="B108" s="115">
        <v>-5</v>
      </c>
      <c r="C108" s="115">
        <v>-3</v>
      </c>
      <c r="D108" s="115">
        <v>-7</v>
      </c>
      <c r="E108" s="115">
        <v>-5.3</v>
      </c>
      <c r="F108" s="115">
        <v>-8</v>
      </c>
      <c r="G108" s="115">
        <v>-3.3</v>
      </c>
      <c r="H108" s="115">
        <v>-2.8</v>
      </c>
      <c r="I108" s="115">
        <v>-1.3</v>
      </c>
      <c r="J108" s="115">
        <v>4.0999999999999996</v>
      </c>
      <c r="K108" s="115">
        <v>13</v>
      </c>
      <c r="L108" s="115">
        <v>22.5</v>
      </c>
      <c r="M108" s="115">
        <v>25.6</v>
      </c>
      <c r="N108" s="115">
        <v>25.5</v>
      </c>
      <c r="O108" s="115">
        <v>21.6</v>
      </c>
      <c r="P108" s="115">
        <v>21.6</v>
      </c>
      <c r="Q108" s="115">
        <v>32.700000000000003</v>
      </c>
      <c r="R108" s="115">
        <v>36.200000000000003</v>
      </c>
      <c r="S108" s="115">
        <v>31</v>
      </c>
      <c r="T108" s="115">
        <v>40</v>
      </c>
      <c r="U108" s="115">
        <v>42.1</v>
      </c>
      <c r="V108" s="115">
        <v>48</v>
      </c>
      <c r="W108" s="115">
        <v>40</v>
      </c>
      <c r="X108" s="115">
        <v>45.3</v>
      </c>
      <c r="Y108" s="115">
        <v>58</v>
      </c>
      <c r="Z108" s="115">
        <v>61</v>
      </c>
      <c r="AA108" s="115">
        <v>60.3</v>
      </c>
      <c r="AB108" s="115">
        <v>42.2</v>
      </c>
      <c r="AC108" s="115">
        <v>36</v>
      </c>
      <c r="AD108" s="115">
        <v>35</v>
      </c>
      <c r="AE108" s="115">
        <v>15</v>
      </c>
      <c r="AF108" s="115">
        <v>2</v>
      </c>
      <c r="AG108" s="114">
        <v>60</v>
      </c>
      <c r="AH108" s="47">
        <f t="shared" si="8"/>
        <v>61</v>
      </c>
      <c r="AI108" s="48">
        <f t="shared" si="9"/>
        <v>-8</v>
      </c>
    </row>
    <row r="109" spans="1:35" x14ac:dyDescent="0.25">
      <c r="A109" s="116" t="s">
        <v>117</v>
      </c>
      <c r="B109" s="117">
        <v>100</v>
      </c>
      <c r="C109" s="117">
        <v>102</v>
      </c>
      <c r="D109" s="117">
        <v>100</v>
      </c>
      <c r="E109" s="117">
        <v>96.7</v>
      </c>
      <c r="F109" s="117">
        <v>99.5</v>
      </c>
      <c r="G109" s="117">
        <v>103.5</v>
      </c>
      <c r="H109" s="117">
        <v>105.2</v>
      </c>
      <c r="I109" s="117">
        <v>101.5</v>
      </c>
      <c r="J109" s="117">
        <v>98.5</v>
      </c>
      <c r="K109" s="117">
        <v>100.1</v>
      </c>
      <c r="L109" s="117">
        <v>72.5</v>
      </c>
      <c r="M109" s="117">
        <v>91</v>
      </c>
      <c r="N109" s="117">
        <v>108</v>
      </c>
      <c r="O109" s="117">
        <v>111.2</v>
      </c>
      <c r="P109" s="117">
        <v>111.2</v>
      </c>
      <c r="Q109" s="117">
        <v>81.099999999999994</v>
      </c>
      <c r="R109" s="117">
        <v>80</v>
      </c>
      <c r="S109" s="117">
        <v>103</v>
      </c>
      <c r="T109" s="117">
        <v>110</v>
      </c>
      <c r="U109" s="117">
        <v>113.7</v>
      </c>
      <c r="V109" s="117">
        <v>104</v>
      </c>
      <c r="W109" s="117">
        <v>106</v>
      </c>
      <c r="X109" s="117">
        <v>90</v>
      </c>
      <c r="Y109" s="117">
        <v>108</v>
      </c>
      <c r="Z109" s="117">
        <v>106</v>
      </c>
      <c r="AA109" s="117">
        <v>97.5</v>
      </c>
      <c r="AB109" s="117">
        <v>109.5</v>
      </c>
      <c r="AC109" s="117">
        <v>103</v>
      </c>
      <c r="AD109" s="117">
        <v>105</v>
      </c>
      <c r="AE109" s="117">
        <v>92</v>
      </c>
      <c r="AF109" s="117">
        <v>89</v>
      </c>
      <c r="AG109" s="118">
        <v>120</v>
      </c>
      <c r="AH109" s="47">
        <f t="shared" si="8"/>
        <v>113.7</v>
      </c>
      <c r="AI109" s="48">
        <f t="shared" si="9"/>
        <v>72.5</v>
      </c>
    </row>
    <row r="110" spans="1:35" x14ac:dyDescent="0.25">
      <c r="A110" s="116" t="s">
        <v>118</v>
      </c>
      <c r="B110" s="117">
        <v>102</v>
      </c>
      <c r="C110" s="117">
        <v>104</v>
      </c>
      <c r="D110" s="117">
        <v>101</v>
      </c>
      <c r="E110" s="117">
        <v>99.5</v>
      </c>
      <c r="F110" s="117">
        <v>103</v>
      </c>
      <c r="G110" s="117">
        <v>105.9</v>
      </c>
      <c r="H110" s="117">
        <v>103</v>
      </c>
      <c r="I110" s="117">
        <v>94.2</v>
      </c>
      <c r="J110" s="117">
        <v>85.6</v>
      </c>
      <c r="K110" s="117">
        <v>72.3</v>
      </c>
      <c r="L110" s="117">
        <v>78.599999999999994</v>
      </c>
      <c r="M110" s="117">
        <v>98.6</v>
      </c>
      <c r="N110" s="117">
        <v>93</v>
      </c>
      <c r="O110" s="117">
        <v>87.9</v>
      </c>
      <c r="P110" s="117">
        <v>87.9</v>
      </c>
      <c r="Q110" s="117">
        <v>104</v>
      </c>
      <c r="R110" s="117">
        <v>103.7</v>
      </c>
      <c r="S110" s="117">
        <v>92</v>
      </c>
      <c r="T110" s="117">
        <v>100</v>
      </c>
      <c r="U110" s="117">
        <v>103.4</v>
      </c>
      <c r="V110" s="117">
        <v>87</v>
      </c>
      <c r="W110" s="117">
        <v>80</v>
      </c>
      <c r="X110" s="117">
        <v>77</v>
      </c>
      <c r="Y110" s="117">
        <v>90</v>
      </c>
      <c r="Z110" s="117">
        <v>90.2</v>
      </c>
      <c r="AA110" s="117">
        <v>97.1</v>
      </c>
      <c r="AB110" s="117">
        <v>73.7</v>
      </c>
      <c r="AC110" s="117">
        <v>71</v>
      </c>
      <c r="AD110" s="117">
        <v>82</v>
      </c>
      <c r="AE110" s="117">
        <v>89</v>
      </c>
      <c r="AF110" s="117">
        <v>94</v>
      </c>
      <c r="AG110" s="118"/>
      <c r="AH110" s="47">
        <f t="shared" si="8"/>
        <v>105.9</v>
      </c>
      <c r="AI110" s="48">
        <f t="shared" si="9"/>
        <v>71</v>
      </c>
    </row>
    <row r="111" spans="1:35" x14ac:dyDescent="0.25">
      <c r="A111" s="116" t="s">
        <v>119</v>
      </c>
      <c r="B111" s="117">
        <v>38</v>
      </c>
      <c r="C111" s="117">
        <v>103</v>
      </c>
      <c r="D111" s="117">
        <v>43</v>
      </c>
      <c r="E111" s="117">
        <v>44</v>
      </c>
      <c r="F111" s="117">
        <v>44.5</v>
      </c>
      <c r="G111" s="117">
        <v>42.5</v>
      </c>
      <c r="H111" s="117">
        <v>39.1</v>
      </c>
      <c r="I111" s="117">
        <v>26</v>
      </c>
      <c r="J111" s="117">
        <v>18.3</v>
      </c>
      <c r="K111" s="117">
        <v>3.7</v>
      </c>
      <c r="L111" s="117">
        <v>4.7</v>
      </c>
      <c r="M111" s="117">
        <v>6.8</v>
      </c>
      <c r="N111" s="117">
        <v>18.600000000000001</v>
      </c>
      <c r="O111" s="117">
        <v>24.5</v>
      </c>
      <c r="P111" s="117">
        <v>24.5</v>
      </c>
      <c r="Q111" s="117">
        <v>0</v>
      </c>
      <c r="R111" s="117">
        <v>0</v>
      </c>
      <c r="S111" s="117">
        <v>29</v>
      </c>
      <c r="T111" s="117">
        <v>28</v>
      </c>
      <c r="U111" s="117">
        <v>31.4</v>
      </c>
      <c r="V111" s="117">
        <v>33</v>
      </c>
      <c r="W111" s="117">
        <v>24</v>
      </c>
      <c r="X111" s="117">
        <v>14.2</v>
      </c>
      <c r="Y111" s="117">
        <v>18</v>
      </c>
      <c r="Z111" s="117">
        <v>24</v>
      </c>
      <c r="AA111" s="117">
        <v>27.4</v>
      </c>
      <c r="AB111" s="117">
        <v>19</v>
      </c>
      <c r="AC111" s="117">
        <v>18</v>
      </c>
      <c r="AD111" s="117">
        <v>21</v>
      </c>
      <c r="AE111" s="117">
        <v>16.5</v>
      </c>
      <c r="AF111" s="117">
        <v>29</v>
      </c>
      <c r="AG111" s="119"/>
      <c r="AH111" s="47">
        <f t="shared" si="8"/>
        <v>103</v>
      </c>
      <c r="AI111" s="48">
        <f t="shared" si="9"/>
        <v>0</v>
      </c>
    </row>
    <row r="112" spans="1:35" x14ac:dyDescent="0.25">
      <c r="A112" s="120" t="s">
        <v>120</v>
      </c>
      <c r="B112" s="106">
        <v>16</v>
      </c>
      <c r="C112" s="106">
        <v>19</v>
      </c>
      <c r="D112" s="106">
        <v>22</v>
      </c>
      <c r="E112" s="106">
        <v>23.9</v>
      </c>
      <c r="F112" s="106">
        <v>22.3</v>
      </c>
      <c r="G112" s="106">
        <v>19.5</v>
      </c>
      <c r="H112" s="106">
        <v>10.3</v>
      </c>
      <c r="I112" s="106">
        <v>0</v>
      </c>
      <c r="J112" s="106">
        <v>-20.2</v>
      </c>
      <c r="K112" s="106">
        <v>-33.5</v>
      </c>
      <c r="L112" s="106">
        <v>-37</v>
      </c>
      <c r="M112" s="106">
        <v>28.7</v>
      </c>
      <c r="N112" s="106">
        <v>-38.5</v>
      </c>
      <c r="O112" s="106">
        <v>-29.5</v>
      </c>
      <c r="P112" s="106">
        <v>-29.5</v>
      </c>
      <c r="Q112" s="106">
        <v>-18</v>
      </c>
      <c r="R112" s="106">
        <v>-20.399999999999999</v>
      </c>
      <c r="S112" s="106">
        <v>-17</v>
      </c>
      <c r="T112" s="106">
        <v>-20</v>
      </c>
      <c r="U112" s="106">
        <v>-17.399999999999999</v>
      </c>
      <c r="V112" s="106">
        <v>-36</v>
      </c>
      <c r="W112" s="106">
        <v>-50</v>
      </c>
      <c r="X112" s="106">
        <v>-59</v>
      </c>
      <c r="Y112" s="106">
        <v>-65</v>
      </c>
      <c r="Z112" s="106">
        <v>-55</v>
      </c>
      <c r="AA112" s="106">
        <v>-42.4</v>
      </c>
      <c r="AB112" s="106">
        <v>-27.3</v>
      </c>
      <c r="AC112" s="106">
        <v>-23</v>
      </c>
      <c r="AD112" s="106">
        <v>-9</v>
      </c>
      <c r="AE112" s="106">
        <v>7</v>
      </c>
      <c r="AF112" s="106">
        <v>11.6</v>
      </c>
      <c r="AG112" s="119"/>
      <c r="AH112" s="47">
        <f t="shared" si="8"/>
        <v>28.7</v>
      </c>
      <c r="AI112" s="48">
        <f t="shared" si="9"/>
        <v>-65</v>
      </c>
    </row>
    <row r="113" spans="1:37" ht="15.75" thickBot="1" x14ac:dyDescent="0.3">
      <c r="A113" s="120" t="s">
        <v>121</v>
      </c>
      <c r="B113" s="106">
        <v>67</v>
      </c>
      <c r="C113" s="106">
        <v>61</v>
      </c>
      <c r="D113" s="106">
        <v>62</v>
      </c>
      <c r="E113" s="106">
        <v>63.5</v>
      </c>
      <c r="F113" s="106">
        <v>60.2</v>
      </c>
      <c r="G113" s="106">
        <v>63.9</v>
      </c>
      <c r="H113" s="106">
        <v>68.7</v>
      </c>
      <c r="I113" s="106">
        <v>79</v>
      </c>
      <c r="J113" s="106">
        <v>81.3</v>
      </c>
      <c r="K113" s="106">
        <v>72.5</v>
      </c>
      <c r="L113" s="106">
        <v>80.900000000000006</v>
      </c>
      <c r="M113" s="106">
        <v>80.599999999999994</v>
      </c>
      <c r="N113" s="106">
        <v>87.5</v>
      </c>
      <c r="O113" s="106">
        <v>92.2</v>
      </c>
      <c r="P113" s="106">
        <v>90</v>
      </c>
      <c r="Q113" s="106">
        <v>89.9</v>
      </c>
      <c r="R113" s="106">
        <v>90.2</v>
      </c>
      <c r="S113" s="106">
        <v>95</v>
      </c>
      <c r="T113" s="106">
        <v>101</v>
      </c>
      <c r="U113" s="106">
        <v>96</v>
      </c>
      <c r="V113" s="106">
        <v>88</v>
      </c>
      <c r="W113" s="106">
        <v>97</v>
      </c>
      <c r="X113" s="106">
        <v>94</v>
      </c>
      <c r="Y113" s="106">
        <v>103</v>
      </c>
      <c r="Z113" s="106">
        <v>80</v>
      </c>
      <c r="AA113" s="106">
        <v>71.900000000000006</v>
      </c>
      <c r="AB113" s="106">
        <v>81.5</v>
      </c>
      <c r="AC113" s="106">
        <v>78</v>
      </c>
      <c r="AD113" s="106">
        <v>73</v>
      </c>
      <c r="AE113" s="106">
        <v>71</v>
      </c>
      <c r="AF113" s="106">
        <v>60</v>
      </c>
      <c r="AG113" s="119"/>
      <c r="AH113" s="47">
        <f t="shared" si="8"/>
        <v>103</v>
      </c>
      <c r="AI113" s="48">
        <f t="shared" si="9"/>
        <v>60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1459.74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2079/11/1)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1061.24</v>
      </c>
      <c r="U242" s="170">
        <f t="shared" si="20"/>
        <v>1036.44</v>
      </c>
      <c r="V242" s="170">
        <f t="shared" si="20"/>
        <v>1052.74</v>
      </c>
      <c r="W242" s="170">
        <f t="shared" si="20"/>
        <v>1012.54</v>
      </c>
      <c r="X242" s="170">
        <f t="shared" si="20"/>
        <v>1055.94</v>
      </c>
      <c r="Y242" s="170">
        <f t="shared" si="20"/>
        <v>1046.74</v>
      </c>
      <c r="Z242" s="170">
        <f t="shared" si="20"/>
        <v>1155.24</v>
      </c>
      <c r="AA242" s="170">
        <f t="shared" si="20"/>
        <v>1185.74</v>
      </c>
      <c r="AB242" s="170">
        <f t="shared" si="20"/>
        <v>1283.74</v>
      </c>
      <c r="AC242" s="170">
        <f t="shared" si="20"/>
        <v>1364.74</v>
      </c>
      <c r="AD242" s="170">
        <f t="shared" si="20"/>
        <v>1412.74</v>
      </c>
      <c r="AE242" s="170">
        <f t="shared" si="20"/>
        <v>1459.74</v>
      </c>
      <c r="AF242" s="170">
        <f t="shared" si="20"/>
        <v>1403.14</v>
      </c>
      <c r="AG242" s="170">
        <f t="shared" si="20"/>
        <v>1349.2399999999998</v>
      </c>
      <c r="AH242" s="170">
        <f t="shared" si="20"/>
        <v>1361.2399999999998</v>
      </c>
      <c r="AI242" s="170">
        <f t="shared" si="20"/>
        <v>1315.9399999999998</v>
      </c>
      <c r="AJ242" s="170">
        <f t="shared" si="20"/>
        <v>1299.71</v>
      </c>
      <c r="AK242" s="170">
        <f t="shared" si="20"/>
        <v>1281.1399999999999</v>
      </c>
      <c r="AL242" s="170">
        <f t="shared" si="20"/>
        <v>1354.84</v>
      </c>
      <c r="AM242" s="170">
        <f t="shared" si="20"/>
        <v>1355.84</v>
      </c>
      <c r="AN242" s="170">
        <f t="shared" si="20"/>
        <v>1319.54</v>
      </c>
      <c r="AO242" s="170">
        <f t="shared" si="20"/>
        <v>1271.74</v>
      </c>
      <c r="AP242" s="170">
        <f t="shared" si="20"/>
        <v>1321.94</v>
      </c>
      <c r="AQ242" s="170">
        <f t="shared" si="20"/>
        <v>1651.44</v>
      </c>
      <c r="AR242" s="170">
        <f t="shared" si="20"/>
        <v>1571.64</v>
      </c>
      <c r="AS242" s="170">
        <f t="shared" si="20"/>
        <v>1507.44</v>
      </c>
      <c r="AT242" s="170">
        <f t="shared" si="20"/>
        <v>1413.14</v>
      </c>
      <c r="AU242" s="170">
        <f t="shared" si="20"/>
        <v>1318.6399999999999</v>
      </c>
      <c r="AV242" s="170">
        <f t="shared" si="20"/>
        <v>1208.04</v>
      </c>
      <c r="AW242" s="170">
        <f t="shared" si="20"/>
        <v>1204.54</v>
      </c>
      <c r="AX242" s="170">
        <f t="shared" si="20"/>
        <v>1112.04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1128" priority="1">
      <formula>$AH11=0</formula>
    </cfRule>
  </conditionalFormatting>
  <conditionalFormatting sqref="B8 M8 S8 AB8">
    <cfRule type="expression" dxfId="1127" priority="241">
      <formula>AND(C$9&gt;=14/24,C$9&lt;20/24)</formula>
    </cfRule>
    <cfRule type="expression" dxfId="1126" priority="243">
      <formula>C$9&lt;8/24</formula>
    </cfRule>
    <cfRule type="expression" dxfId="1125" priority="242">
      <formula>AND(C$9&gt;=8/24,C$9&lt;14/24)</formula>
    </cfRule>
  </conditionalFormatting>
  <conditionalFormatting sqref="B49:L51">
    <cfRule type="expression" dxfId="1120" priority="95">
      <formula>B$9&lt;8/24</formula>
    </cfRule>
    <cfRule type="expression" dxfId="1119" priority="94">
      <formula>AND(B$9&gt;=8/24,B$9&lt;14/24)</formula>
    </cfRule>
    <cfRule type="expression" dxfId="1118" priority="93">
      <formula>AND(B$9&gt;=14/24,B$9&lt;20/24)</formula>
    </cfRule>
    <cfRule type="expression" dxfId="1117" priority="92">
      <formula>B$9&gt;=20/24</formula>
    </cfRule>
  </conditionalFormatting>
  <conditionalFormatting sqref="B11:X11">
    <cfRule type="expression" dxfId="1116" priority="26">
      <formula>B$9&lt;8/24</formula>
    </cfRule>
    <cfRule type="expression" dxfId="1115" priority="23">
      <formula>B$9&gt;=20/24</formula>
    </cfRule>
    <cfRule type="expression" dxfId="1114" priority="24">
      <formula>AND(B$9&gt;=14/24,B$9&lt;20/24)</formula>
    </cfRule>
    <cfRule type="expression" dxfId="1113" priority="25">
      <formula>AND(B$9&gt;=8/24,B$9&lt;14/24)</formula>
    </cfRule>
  </conditionalFormatting>
  <conditionalFormatting sqref="B12:X14">
    <cfRule type="expression" dxfId="1112" priority="18">
      <formula>B$9&gt;=20/24</formula>
    </cfRule>
    <cfRule type="expression" dxfId="1111" priority="20">
      <formula>AND(B$9&gt;=8/24,B$9&lt;14/24)</formula>
    </cfRule>
    <cfRule type="expression" dxfId="1110" priority="21">
      <formula>B$9&lt;8/24</formula>
    </cfRule>
    <cfRule type="expression" dxfId="1109" priority="19">
      <formula>AND(B$9&gt;=14/24,B$9&lt;20/24)</formula>
    </cfRule>
  </conditionalFormatting>
  <conditionalFormatting sqref="B15:X40">
    <cfRule type="expression" dxfId="1108" priority="112">
      <formula>B$9&lt;8/24</formula>
    </cfRule>
    <cfRule type="expression" dxfId="1107" priority="111">
      <formula>AND(B$9&gt;=8/24,B$9&lt;14/24)</formula>
    </cfRule>
    <cfRule type="expression" dxfId="1106" priority="110">
      <formula>AND(B$9&gt;=14/24,B$9&lt;20/24)</formula>
    </cfRule>
    <cfRule type="expression" dxfId="1105" priority="109">
      <formula>B$9&gt;=20/24</formula>
    </cfRule>
  </conditionalFormatting>
  <conditionalFormatting sqref="B41:X41">
    <cfRule type="expression" dxfId="1104" priority="17">
      <formula>B$9&lt;8/24</formula>
    </cfRule>
    <cfRule type="expression" dxfId="1103" priority="16">
      <formula>AND(B$9&gt;=8/24,B$9&lt;14/24)</formula>
    </cfRule>
    <cfRule type="expression" dxfId="1102" priority="15">
      <formula>AND(B$9&gt;=14/24,B$9&lt;20/24)</formula>
    </cfRule>
    <cfRule type="expression" dxfId="1101" priority="14">
      <formula>B$9&gt;=20/24</formula>
    </cfRule>
  </conditionalFormatting>
  <conditionalFormatting sqref="B42:X42">
    <cfRule type="expression" dxfId="1100" priority="76">
      <formula>B$9&lt;8/24</formula>
    </cfRule>
    <cfRule type="expression" dxfId="1099" priority="75">
      <formula>AND(B$9&gt;=8/24,B$9&lt;14/24)</formula>
    </cfRule>
    <cfRule type="expression" dxfId="1098" priority="74">
      <formula>AND(B$9&gt;=14/24,B$9&lt;20/24)</formula>
    </cfRule>
    <cfRule type="expression" dxfId="1097" priority="73">
      <formula>B$9&gt;=20/24</formula>
    </cfRule>
  </conditionalFormatting>
  <conditionalFormatting sqref="B49:X60 Y54:AF60">
    <cfRule type="expression" dxfId="1096" priority="28">
      <formula>B49&gt;$AG49</formula>
    </cfRule>
  </conditionalFormatting>
  <conditionalFormatting sqref="B9:AF10 B220:AF220 D222:AF223 B222:B228 D224:H224 J224:AF224 D225:AF228 U241:AF241">
    <cfRule type="expression" dxfId="1095" priority="237">
      <formula>B$9&lt;8/24</formula>
    </cfRule>
    <cfRule type="expression" dxfId="1094" priority="236">
      <formula>AND(B$9&gt;=8/24,B$9&lt;14/24)</formula>
    </cfRule>
    <cfRule type="expression" dxfId="1093" priority="235">
      <formula>AND(B$9&gt;=14/24,B$9&lt;20/24)</formula>
    </cfRule>
    <cfRule type="expression" dxfId="1092" priority="234">
      <formula>B$9&gt;=20/24</formula>
    </cfRule>
  </conditionalFormatting>
  <conditionalFormatting sqref="B11:AF48">
    <cfRule type="expression" dxfId="1091" priority="22">
      <formula>B11&gt;$AG11</formula>
    </cfRule>
  </conditionalFormatting>
  <conditionalFormatting sqref="B43:AF43">
    <cfRule type="expression" dxfId="1090" priority="105">
      <formula>B$9&gt;=20/24</formula>
    </cfRule>
    <cfRule type="expression" dxfId="1089" priority="108">
      <formula>B$9&lt;8/24</formula>
    </cfRule>
    <cfRule type="expression" dxfId="1088" priority="107">
      <formula>AND(B$9&gt;=8/24,B$9&lt;14/24)</formula>
    </cfRule>
    <cfRule type="expression" dxfId="1087" priority="106">
      <formula>AND(B$9&gt;=14/24,B$9&lt;20/24)</formula>
    </cfRule>
  </conditionalFormatting>
  <conditionalFormatting sqref="B45:AF48">
    <cfRule type="expression" dxfId="1086" priority="50">
      <formula>B$9&gt;=20/24</formula>
    </cfRule>
    <cfRule type="expression" dxfId="1085" priority="52">
      <formula>AND(B$9&gt;=8/24,B$9&lt;14/24)</formula>
    </cfRule>
    <cfRule type="expression" dxfId="1084" priority="53">
      <formula>B$9&lt;8/24</formula>
    </cfRule>
    <cfRule type="expression" dxfId="1083" priority="51">
      <formula>AND(B$9&gt;=14/24,B$9&lt;20/24)</formula>
    </cfRule>
  </conditionalFormatting>
  <conditionalFormatting sqref="B61:AF66">
    <cfRule type="expression" dxfId="1082" priority="67">
      <formula>B61&gt;$AG61</formula>
    </cfRule>
  </conditionalFormatting>
  <conditionalFormatting sqref="B63:AF72">
    <cfRule type="expression" dxfId="1081" priority="68">
      <formula>B$9&gt;=20/24</formula>
    </cfRule>
    <cfRule type="expression" dxfId="1080" priority="69">
      <formula>AND(B$9&gt;=14/24,B$9&lt;20/24)</formula>
    </cfRule>
    <cfRule type="expression" dxfId="1079" priority="70">
      <formula>AND(B$9&gt;=8/24,B$9&lt;14/24)</formula>
    </cfRule>
    <cfRule type="expression" dxfId="1078" priority="71">
      <formula>B$9&lt;8/24</formula>
    </cfRule>
  </conditionalFormatting>
  <conditionalFormatting sqref="B73:AF85">
    <cfRule type="expression" dxfId="1077" priority="10">
      <formula>B$9&gt;=20/24</formula>
    </cfRule>
    <cfRule type="expression" dxfId="1076" priority="11">
      <formula>AND(B$9&gt;=14/24,B$9&lt;20/24)</formula>
    </cfRule>
    <cfRule type="expression" dxfId="1075" priority="12">
      <formula>AND(B$9&gt;=8/24,B$9&lt;14/24)</formula>
    </cfRule>
    <cfRule type="expression" dxfId="1074" priority="13">
      <formula>B$9&lt;8/24</formula>
    </cfRule>
  </conditionalFormatting>
  <conditionalFormatting sqref="B87:AF103">
    <cfRule type="expression" dxfId="1069" priority="48">
      <formula>B$9&lt;8/24</formula>
    </cfRule>
    <cfRule type="expression" dxfId="1068" priority="45">
      <formula>B$9&gt;=20/24</formula>
    </cfRule>
    <cfRule type="expression" dxfId="1067" priority="46">
      <formula>AND(B$9&gt;=14/24,B$9&lt;20/24)</formula>
    </cfRule>
    <cfRule type="expression" dxfId="1066" priority="47">
      <formula>AND(B$9&gt;=8/24,B$9&lt;14/24)</formula>
    </cfRule>
  </conditionalFormatting>
  <conditionalFormatting sqref="B105:AF112">
    <cfRule type="expression" dxfId="1065" priority="33">
      <formula>B$9&gt;=20/24</formula>
    </cfRule>
    <cfRule type="expression" dxfId="1064" priority="34">
      <formula>AND(B$9&gt;=14/24,B$9&lt;20/24)</formula>
    </cfRule>
    <cfRule type="expression" dxfId="1063" priority="35">
      <formula>AND(B$9&gt;=8/24,B$9&lt;14/24)</formula>
    </cfRule>
    <cfRule type="expression" dxfId="1062" priority="36">
      <formula>B$9&lt;8/24</formula>
    </cfRule>
  </conditionalFormatting>
  <conditionalFormatting sqref="M49:X60 B54:L60 Y54:AF60">
    <cfRule type="expression" dxfId="1057" priority="29">
      <formula>B$9&gt;=20/24</formula>
    </cfRule>
    <cfRule type="expression" dxfId="1056" priority="30">
      <formula>AND(B$9&gt;=14/24,B$9&lt;20/24)</formula>
    </cfRule>
    <cfRule type="expression" dxfId="1055" priority="31">
      <formula>AND(B$9&gt;=8/24,B$9&lt;14/24)</formula>
    </cfRule>
    <cfRule type="expression" dxfId="1054" priority="32">
      <formula>B$9&lt;8/24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053" priority="240">
      <formula>C$9&gt;=20/24</formula>
    </cfRule>
  </conditionalFormatting>
  <conditionalFormatting sqref="S8">
    <cfRule type="expression" dxfId="1052" priority="214">
      <formula>AND(U$9&gt;=14/24,U$9&lt;20/24)</formula>
    </cfRule>
    <cfRule type="expression" dxfId="1051" priority="213">
      <formula>U$9&gt;=20/24</formula>
    </cfRule>
    <cfRule type="expression" dxfId="1050" priority="215">
      <formula>AND(U$9&gt;=8/24,U$9&lt;14/24)</formula>
    </cfRule>
    <cfRule type="expression" dxfId="1049" priority="216">
      <formula>U$9&lt;8/24</formula>
    </cfRule>
  </conditionalFormatting>
  <conditionalFormatting sqref="T241">
    <cfRule type="expression" dxfId="1048" priority="256">
      <formula>AX$9&lt;8/24</formula>
    </cfRule>
    <cfRule type="expression" dxfId="1047" priority="253">
      <formula>AX$9&gt;=20/24</formula>
    </cfRule>
    <cfRule type="expression" dxfId="1046" priority="254">
      <formula>AND(AX$9&gt;=14/24,AX$9&lt;20/24)</formula>
    </cfRule>
    <cfRule type="expression" dxfId="1045" priority="255">
      <formula>AND(AX$9&gt;=8/24,AX$9&lt;14/24)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49:AA51">
    <cfRule type="expression" dxfId="1044" priority="190">
      <formula>Y$9&gt;=20/24</formula>
    </cfRule>
    <cfRule type="expression" dxfId="1043" priority="191">
      <formula>AND(Y$9&gt;=14/24,Y$9&lt;20/24)</formula>
    </cfRule>
    <cfRule type="expression" dxfId="1042" priority="192">
      <formula>AND(Y$9&gt;=8/24,Y$9&lt;14/24)</formula>
    </cfRule>
    <cfRule type="expression" dxfId="1041" priority="193">
      <formula>Y$9&lt;8/24</formula>
    </cfRule>
    <cfRule type="expression" dxfId="1040" priority="189">
      <formula>Y49&gt;$AG49</formula>
    </cfRule>
  </conditionalFormatting>
  <conditionalFormatting sqref="Y11:AF42">
    <cfRule type="expression" dxfId="1039" priority="177">
      <formula>AND(Y$9&gt;=14/24,Y$9&lt;20/24)</formula>
    </cfRule>
    <cfRule type="expression" dxfId="1038" priority="179">
      <formula>Y$9&lt;8/24</formula>
    </cfRule>
    <cfRule type="expression" dxfId="1037" priority="178">
      <formula>AND(Y$9&gt;=8/24,Y$9&lt;14/24)</formula>
    </cfRule>
    <cfRule type="expression" dxfId="1036" priority="176">
      <formula>Y$9&gt;=20/24</formula>
    </cfRule>
  </conditionalFormatting>
  <conditionalFormatting sqref="AB8">
    <cfRule type="expression" dxfId="1035" priority="212">
      <formula>AD$9&lt;8/24</formula>
    </cfRule>
    <cfRule type="expression" dxfId="1034" priority="211">
      <formula>AND(AD$9&gt;=8/24,AD$9&lt;14/24)</formula>
    </cfRule>
    <cfRule type="expression" dxfId="1033" priority="209">
      <formula>AD$9&gt;=20/24</formula>
    </cfRule>
    <cfRule type="expression" dxfId="1032" priority="210">
      <formula>AND(AD$9&gt;=14/24,AD$9&lt;20/24)</formula>
    </cfRule>
  </conditionalFormatting>
  <conditionalFormatting sqref="AB50:AB51 AC50:AF53 Y52:AB53">
    <cfRule type="expression" dxfId="1031" priority="206">
      <formula>AND(Y$9&gt;=8/24,Y$9&lt;14/24)</formula>
    </cfRule>
    <cfRule type="expression" dxfId="1030" priority="207">
      <formula>Y$9&lt;8/24</formula>
    </cfRule>
    <cfRule type="expression" dxfId="1029" priority="204">
      <formula>Y$9&gt;=20/24</formula>
    </cfRule>
    <cfRule type="expression" dxfId="1028" priority="205">
      <formula>AND(Y$9&gt;=14/24,Y$9&lt;20/24)</formula>
    </cfRule>
  </conditionalFormatting>
  <conditionalFormatting sqref="AB49:AE49 AF49:AF53 AB50:AB51 AC50:AE53 Y52:AB53">
    <cfRule type="expression" dxfId="1027" priority="199">
      <formula>Y49&gt;$AG49</formula>
    </cfRule>
  </conditionalFormatting>
  <conditionalFormatting sqref="AB49:AF49">
    <cfRule type="expression" dxfId="1026" priority="203">
      <formula>AB$9&lt;8/24</formula>
    </cfRule>
    <cfRule type="expression" dxfId="1025" priority="202">
      <formula>AND(AB$9&gt;=8/24,AB$9&lt;14/24)</formula>
    </cfRule>
    <cfRule type="expression" dxfId="1024" priority="200">
      <formula>AB$9&gt;=20/24</formula>
    </cfRule>
    <cfRule type="expression" dxfId="1023" priority="201">
      <formula>AND(AB$9&gt;=14/24,AB$9&lt;20/24)</formula>
    </cfRule>
  </conditionalFormatting>
  <conditionalFormatting sqref="AG44 AG61:AG62 AG66">
    <cfRule type="expression" dxfId="1022" priority="166">
      <formula>AG44&gt;$AG44</formula>
    </cfRule>
  </conditionalFormatting>
  <conditionalFormatting sqref="AG48">
    <cfRule type="expression" dxfId="1021" priority="146">
      <formula>AG48&gt;$AG48</formula>
    </cfRule>
    <cfRule type="expression" dxfId="1020" priority="147">
      <formula>AG$9&gt;=20/24</formula>
    </cfRule>
    <cfRule type="expression" dxfId="1019" priority="148">
      <formula>AND(AG$9&gt;=14/24,AG$9&lt;20/24)</formula>
    </cfRule>
    <cfRule type="expression" dxfId="1018" priority="149">
      <formula>AND(AG$9&gt;=8/24,AG$9&lt;14/24)</formula>
    </cfRule>
    <cfRule type="expression" dxfId="1017" priority="150">
      <formula>AG$9&lt;8/24</formula>
    </cfRule>
  </conditionalFormatting>
  <conditionalFormatting sqref="AG66 AG83">
    <cfRule type="expression" dxfId="1016" priority="169">
      <formula>AND(AG$9&gt;=8/24,AG$9&lt;14/24)</formula>
    </cfRule>
    <cfRule type="expression" dxfId="1015" priority="168">
      <formula>AND(AG$9&gt;=14/24,AG$9&lt;20/24)</formula>
    </cfRule>
    <cfRule type="expression" dxfId="1014" priority="167">
      <formula>AG$9&gt;=20/24</formula>
    </cfRule>
    <cfRule type="expression" dxfId="1013" priority="170">
      <formula>AG$9&lt;8/24</formula>
    </cfRule>
  </conditionalFormatting>
  <conditionalFormatting sqref="AG241">
    <cfRule type="expression" dxfId="1012" priority="248">
      <formula>B$9&lt;8/24</formula>
    </cfRule>
    <cfRule type="expression" dxfId="1011" priority="247">
      <formula>AND(B$9&gt;=8/24,B$9&lt;14/24)</formula>
    </cfRule>
    <cfRule type="expression" dxfId="1010" priority="245">
      <formula>B$9&gt;=20/24</formula>
    </cfRule>
    <cfRule type="expression" dxfId="1009" priority="246">
      <formula>AND(B$9&gt;=14/24,B$9&lt;20/24)</formula>
    </cfRule>
  </conditionalFormatting>
  <conditionalFormatting sqref="AH241:AX241">
    <cfRule type="expression" dxfId="1008" priority="251">
      <formula>AND(AG$9&gt;=8/24,AG$9&lt;14/24)</formula>
    </cfRule>
    <cfRule type="expression" dxfId="1007" priority="250">
      <formula>AND(AG$9&gt;=14/24,AG$9&lt;20/24)</formula>
    </cfRule>
    <cfRule type="expression" dxfId="1006" priority="249">
      <formula>AG$9&gt;=20/24</formula>
    </cfRule>
    <cfRule type="expression" dxfId="1005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004" priority="261">
      <formula>AJ$9&lt;8/24</formula>
    </cfRule>
    <cfRule type="expression" dxfId="1003" priority="258">
      <formula>AJ$9&gt;=20/24</formula>
    </cfRule>
    <cfRule type="expression" dxfId="1002" priority="259">
      <formula>AND(AJ$9&gt;=14/24,AJ$9&lt;20/24)</formula>
    </cfRule>
    <cfRule type="expression" dxfId="1001" priority="260">
      <formula>AND(AJ$9&gt;=8/24,AJ$9&lt;14/24)</formula>
    </cfRule>
  </conditionalFormatting>
  <conditionalFormatting sqref="AL74:AN74 AL80:AN80">
    <cfRule type="expression" dxfId="1000" priority="9">
      <formula>AL$9&lt;8/24</formula>
    </cfRule>
    <cfRule type="expression" dxfId="999" priority="8">
      <formula>AND(AL$9&gt;=8/24,AL$9&lt;14/24)</formula>
    </cfRule>
    <cfRule type="expression" dxfId="998" priority="7">
      <formula>AND(AL$9&gt;=14/24,AL$9&lt;20/24)</formula>
    </cfRule>
    <cfRule type="expression" dxfId="997" priority="6">
      <formula>AL$9&gt;=20/24</formula>
    </cfRule>
  </conditionalFormatting>
  <conditionalFormatting sqref="AN75:AN78">
    <cfRule type="expression" dxfId="996" priority="5">
      <formula>AN$9&lt;8/24</formula>
    </cfRule>
    <cfRule type="expression" dxfId="995" priority="4">
      <formula>AND(AN$9&gt;=8/24,AN$9&lt;14/24)</formula>
    </cfRule>
    <cfRule type="expression" dxfId="994" priority="3">
      <formula>AND(AN$9&gt;=14/24,AN$9&lt;20/24)</formula>
    </cfRule>
    <cfRule type="expression" dxfId="993" priority="2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FF90B60A-8907-4DBF-85E3-68A28017F75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8B372CFE-A0F3-4E41-87EB-DD4BA6C9CE9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" id="{309E1B79-13CC-4A06-B58E-96FE9AF81A8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" id="{ED6B3C88-6D7B-48EB-9E9F-4F3314017FD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1" id="{BE14306F-5D4E-4192-AEBA-C13434790AC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120225B5-A6BE-43A2-92DF-DD7C9978FE1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8266608C-C8A0-4D4D-92E7-A07B4D6C5CE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CC3F2EA0-C723-4E61-9C6A-380C3A4A367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7" id="{6BD9A18F-F06F-4E4E-A64E-AFA615BF808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667BE50C-EA4B-48A6-A1E8-E836C3216C5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5" id="{C0B99123-9E0E-4B82-818D-042B4F3E55F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972B65B1-892C-4639-8DD1-F1DB96B6C5D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74"/>
  <sheetViews>
    <sheetView workbookViewId="0">
      <pane ySplit="10" topLeftCell="A41" activePane="bottomLeft" state="frozen"/>
      <selection activeCell="Z85" sqref="Z85"/>
      <selection pane="bottomLeft" activeCell="X65" sqref="X6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</v>
      </c>
      <c r="C4" s="208"/>
      <c r="D4" s="208"/>
      <c r="E4" s="209" t="str">
        <f ca="1">"2079/"&amp;"11/"&amp;INT(MID(CELL("filename",G6),FIND("]",CELL("filename",G6))+1,200))</f>
        <v>2079/11/2</v>
      </c>
      <c r="F4" s="209"/>
      <c r="G4" s="209"/>
      <c r="H4" s="209" t="str">
        <f ca="1">TEXT(E4,"dddd")</f>
        <v>Thursday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503</v>
      </c>
      <c r="C5" s="30">
        <f t="shared" si="0"/>
        <v>496</v>
      </c>
      <c r="D5" s="30">
        <f t="shared" si="0"/>
        <v>501</v>
      </c>
      <c r="E5" s="30">
        <f t="shared" si="0"/>
        <v>516</v>
      </c>
      <c r="F5" s="30">
        <f t="shared" si="0"/>
        <v>545.29999999999995</v>
      </c>
      <c r="G5" s="30">
        <f t="shared" si="0"/>
        <v>504.20000000000005</v>
      </c>
      <c r="H5" s="30">
        <f t="shared" si="0"/>
        <v>518.6</v>
      </c>
      <c r="I5" s="30">
        <f t="shared" si="0"/>
        <v>445.6</v>
      </c>
      <c r="J5" s="30">
        <f t="shared" si="0"/>
        <v>373.4</v>
      </c>
      <c r="K5" s="30">
        <f t="shared" si="0"/>
        <v>351.6</v>
      </c>
      <c r="L5" s="30">
        <f t="shared" si="0"/>
        <v>365.6</v>
      </c>
      <c r="M5" s="30">
        <f t="shared" si="0"/>
        <v>500</v>
      </c>
      <c r="N5" s="30">
        <f t="shared" si="0"/>
        <v>543.6</v>
      </c>
      <c r="O5" s="30">
        <f t="shared" si="0"/>
        <v>517.5</v>
      </c>
      <c r="P5" s="30">
        <f t="shared" si="0"/>
        <v>517</v>
      </c>
      <c r="Q5" s="30">
        <f t="shared" si="0"/>
        <v>521.29999999999995</v>
      </c>
      <c r="R5" s="30">
        <f t="shared" si="0"/>
        <v>531.20000000000005</v>
      </c>
      <c r="S5" s="30">
        <f t="shared" si="0"/>
        <v>531.79999999999995</v>
      </c>
      <c r="T5" s="30">
        <f t="shared" si="0"/>
        <v>503.4</v>
      </c>
      <c r="U5" s="30">
        <f t="shared" si="0"/>
        <v>480.29999999999995</v>
      </c>
      <c r="V5" s="30">
        <f t="shared" si="0"/>
        <v>477.5</v>
      </c>
      <c r="W5" s="30">
        <f t="shared" si="0"/>
        <v>439.9</v>
      </c>
      <c r="X5" s="30">
        <f t="shared" si="0"/>
        <v>425.6</v>
      </c>
      <c r="Y5" s="30">
        <f t="shared" si="0"/>
        <v>243.60000000000002</v>
      </c>
      <c r="Z5" s="30">
        <f t="shared" si="0"/>
        <v>319.5</v>
      </c>
      <c r="AA5" s="30">
        <f t="shared" si="0"/>
        <v>438.59999999999997</v>
      </c>
      <c r="AB5" s="30">
        <f t="shared" si="0"/>
        <v>497.09999999999997</v>
      </c>
      <c r="AC5" s="30">
        <f t="shared" si="0"/>
        <v>473.1</v>
      </c>
      <c r="AD5" s="30">
        <f t="shared" si="0"/>
        <v>492.40000000000003</v>
      </c>
      <c r="AE5" s="30">
        <f t="shared" si="0"/>
        <v>490</v>
      </c>
      <c r="AF5" s="30">
        <f>B78</f>
        <v>490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1496MW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Load=998</v>
      </c>
      <c r="B7" s="35">
        <f t="shared" ref="B7:AF7" si="1">B85</f>
        <v>1042.04</v>
      </c>
      <c r="C7" s="35">
        <f t="shared" si="1"/>
        <v>1048.04</v>
      </c>
      <c r="D7" s="35">
        <f t="shared" si="1"/>
        <v>1034.6400000000001</v>
      </c>
      <c r="E7" s="35">
        <f t="shared" si="1"/>
        <v>998.04000000000008</v>
      </c>
      <c r="F7" s="35">
        <f t="shared" si="1"/>
        <v>1029.04</v>
      </c>
      <c r="G7" s="35">
        <f t="shared" si="1"/>
        <v>1065.3400000000001</v>
      </c>
      <c r="H7" s="35">
        <f t="shared" si="1"/>
        <v>1083.2400000000002</v>
      </c>
      <c r="I7" s="35">
        <f t="shared" si="1"/>
        <v>1181.3400000000001</v>
      </c>
      <c r="J7" s="35">
        <f t="shared" si="1"/>
        <v>1239.74</v>
      </c>
      <c r="K7" s="35">
        <f t="shared" si="1"/>
        <v>1375.74</v>
      </c>
      <c r="L7" s="35">
        <f t="shared" si="1"/>
        <v>1434.3400000000001</v>
      </c>
      <c r="M7" s="35">
        <f t="shared" si="1"/>
        <v>1496.1399999999999</v>
      </c>
      <c r="N7" s="35">
        <f>N85</f>
        <v>1444.6399999999999</v>
      </c>
      <c r="O7" s="35">
        <f t="shared" si="1"/>
        <v>1351.24</v>
      </c>
      <c r="P7" s="35">
        <f t="shared" si="1"/>
        <v>1313.84</v>
      </c>
      <c r="Q7" s="35">
        <f t="shared" si="1"/>
        <v>1358.24</v>
      </c>
      <c r="R7" s="35">
        <f t="shared" si="1"/>
        <v>1296.9399999999998</v>
      </c>
      <c r="S7" s="35">
        <f t="shared" si="1"/>
        <v>1308.6400000000001</v>
      </c>
      <c r="T7" s="35">
        <f t="shared" si="1"/>
        <v>1350.54</v>
      </c>
      <c r="U7" s="35">
        <f t="shared" si="1"/>
        <v>1326.2399999999998</v>
      </c>
      <c r="V7" s="35">
        <f t="shared" si="1"/>
        <v>1237.6399999999999</v>
      </c>
      <c r="W7" s="35">
        <f t="shared" si="1"/>
        <v>1363.84</v>
      </c>
      <c r="X7" s="35">
        <f t="shared" si="1"/>
        <v>1480.6399999999999</v>
      </c>
      <c r="Y7" s="35">
        <f t="shared" si="1"/>
        <v>1565.3400000000001</v>
      </c>
      <c r="Z7" s="35">
        <f t="shared" si="1"/>
        <v>1514.8400000000001</v>
      </c>
      <c r="AA7" s="35">
        <f t="shared" si="1"/>
        <v>1497.04</v>
      </c>
      <c r="AB7" s="35">
        <f t="shared" si="1"/>
        <v>1389.04</v>
      </c>
      <c r="AC7" s="35">
        <f t="shared" si="1"/>
        <v>1338.4399999999998</v>
      </c>
      <c r="AD7" s="35">
        <f t="shared" si="1"/>
        <v>1246.04</v>
      </c>
      <c r="AE7" s="35">
        <f t="shared" si="1"/>
        <v>1172.8399999999999</v>
      </c>
      <c r="AF7" s="35">
        <f t="shared" si="1"/>
        <v>1099.44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16.2</v>
      </c>
      <c r="C11" s="45">
        <v>16.2</v>
      </c>
      <c r="D11" s="45">
        <v>16.2</v>
      </c>
      <c r="E11" s="45">
        <v>16.2</v>
      </c>
      <c r="F11" s="45">
        <v>16.2</v>
      </c>
      <c r="G11" s="45">
        <v>16.2</v>
      </c>
      <c r="H11" s="45">
        <v>16.2</v>
      </c>
      <c r="I11" s="45">
        <v>16.2</v>
      </c>
      <c r="J11" s="45">
        <v>16.2</v>
      </c>
      <c r="K11" s="45">
        <v>16.2</v>
      </c>
      <c r="L11" s="45">
        <v>16.2</v>
      </c>
      <c r="M11" s="45">
        <v>16.2</v>
      </c>
      <c r="N11" s="45">
        <v>16.2</v>
      </c>
      <c r="O11" s="45">
        <v>16.2</v>
      </c>
      <c r="P11" s="45">
        <v>16.2</v>
      </c>
      <c r="Q11" s="45">
        <v>16.2</v>
      </c>
      <c r="R11" s="45">
        <v>15.6</v>
      </c>
      <c r="S11" s="45">
        <v>15.6</v>
      </c>
      <c r="T11" s="45">
        <v>15.6</v>
      </c>
      <c r="U11" s="45">
        <v>15.6</v>
      </c>
      <c r="V11" s="45">
        <v>15.6</v>
      </c>
      <c r="W11" s="45">
        <v>15.6</v>
      </c>
      <c r="X11" s="45">
        <v>15.6</v>
      </c>
      <c r="Y11" s="45">
        <v>14.8</v>
      </c>
      <c r="Z11" s="45">
        <v>14.8</v>
      </c>
      <c r="AA11" s="45">
        <v>14.8</v>
      </c>
      <c r="AB11" s="45">
        <v>14.8</v>
      </c>
      <c r="AC11" s="45">
        <v>14.8</v>
      </c>
      <c r="AD11" s="45">
        <v>14.8</v>
      </c>
      <c r="AE11" s="45">
        <v>16.2</v>
      </c>
      <c r="AF11" s="45">
        <v>16.3</v>
      </c>
      <c r="AG11" s="46">
        <v>52.4</v>
      </c>
      <c r="AH11" s="47">
        <f t="shared" ref="AH11:AH74" si="2">MAX(B11:AF11)</f>
        <v>16.3</v>
      </c>
      <c r="AI11" s="48">
        <f t="shared" ref="AI11:AI74" si="3">MIN(B11:AF11)</f>
        <v>14.8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31.5</v>
      </c>
      <c r="C12" s="45">
        <v>31.5</v>
      </c>
      <c r="D12" s="45">
        <v>31.5</v>
      </c>
      <c r="E12" s="45">
        <v>31.5</v>
      </c>
      <c r="F12" s="45">
        <v>31.5</v>
      </c>
      <c r="G12" s="45">
        <v>31.5</v>
      </c>
      <c r="H12" s="45">
        <v>31.5</v>
      </c>
      <c r="I12" s="45">
        <v>31.5</v>
      </c>
      <c r="J12" s="45">
        <v>31.5</v>
      </c>
      <c r="K12" s="45">
        <v>31.5</v>
      </c>
      <c r="L12" s="45">
        <v>31.5</v>
      </c>
      <c r="M12" s="45">
        <v>31.5</v>
      </c>
      <c r="N12" s="45">
        <v>31.5</v>
      </c>
      <c r="O12" s="45">
        <v>31.5</v>
      </c>
      <c r="P12" s="45">
        <v>31.5</v>
      </c>
      <c r="Q12" s="45">
        <v>31.5</v>
      </c>
      <c r="R12" s="45">
        <v>31.6</v>
      </c>
      <c r="S12" s="45">
        <v>31.6</v>
      </c>
      <c r="T12" s="45">
        <v>31.6</v>
      </c>
      <c r="U12" s="45">
        <v>31.6</v>
      </c>
      <c r="V12" s="45">
        <v>31.6</v>
      </c>
      <c r="W12" s="45">
        <v>31.6</v>
      </c>
      <c r="X12" s="45">
        <v>31.6</v>
      </c>
      <c r="Y12" s="45">
        <v>30</v>
      </c>
      <c r="Z12" s="45">
        <v>30</v>
      </c>
      <c r="AA12" s="45">
        <v>30</v>
      </c>
      <c r="AB12" s="45">
        <v>30</v>
      </c>
      <c r="AC12" s="45">
        <v>30</v>
      </c>
      <c r="AD12" s="45">
        <v>30</v>
      </c>
      <c r="AE12" s="45">
        <v>30</v>
      </c>
      <c r="AF12" s="45">
        <v>30.4</v>
      </c>
      <c r="AG12" s="50">
        <v>50</v>
      </c>
      <c r="AH12" s="47">
        <f t="shared" si="2"/>
        <v>31.6</v>
      </c>
      <c r="AI12" s="48">
        <f t="shared" si="3"/>
        <v>30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18.7</v>
      </c>
      <c r="C13" s="45">
        <v>18.7</v>
      </c>
      <c r="D13" s="45">
        <v>18.7</v>
      </c>
      <c r="E13" s="45">
        <v>18.7</v>
      </c>
      <c r="F13" s="45">
        <v>18.7</v>
      </c>
      <c r="G13" s="45">
        <v>18.7</v>
      </c>
      <c r="H13" s="45">
        <v>18.7</v>
      </c>
      <c r="I13" s="45">
        <v>18.7</v>
      </c>
      <c r="J13" s="45">
        <v>18.7</v>
      </c>
      <c r="K13" s="45">
        <v>18.7</v>
      </c>
      <c r="L13" s="45">
        <v>18.7</v>
      </c>
      <c r="M13" s="45">
        <v>18.7</v>
      </c>
      <c r="N13" s="45">
        <v>18.7</v>
      </c>
      <c r="O13" s="45">
        <v>18.7</v>
      </c>
      <c r="P13" s="45">
        <v>18.7</v>
      </c>
      <c r="Q13" s="45">
        <v>18.7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19.3</v>
      </c>
      <c r="AF13" s="45">
        <v>19.2</v>
      </c>
      <c r="AG13" s="50">
        <v>45</v>
      </c>
      <c r="AH13" s="47">
        <f t="shared" si="2"/>
        <v>19.3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8.5</v>
      </c>
      <c r="I14" s="45">
        <v>8.5</v>
      </c>
      <c r="J14" s="45">
        <v>8.5</v>
      </c>
      <c r="K14" s="45">
        <v>8.5</v>
      </c>
      <c r="L14" s="45">
        <v>8.5</v>
      </c>
      <c r="M14" s="45">
        <v>8.5</v>
      </c>
      <c r="N14" s="45">
        <v>8.5</v>
      </c>
      <c r="O14" s="45">
        <v>8.5</v>
      </c>
      <c r="P14" s="45">
        <v>8.5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8.5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7.3</v>
      </c>
      <c r="C16" s="45">
        <v>7.3</v>
      </c>
      <c r="D16" s="45">
        <v>7.3</v>
      </c>
      <c r="E16" s="45">
        <v>7.3</v>
      </c>
      <c r="F16" s="45">
        <v>7.3</v>
      </c>
      <c r="G16" s="45">
        <v>7.3</v>
      </c>
      <c r="H16" s="45">
        <v>7.3</v>
      </c>
      <c r="I16" s="45">
        <v>7.3</v>
      </c>
      <c r="J16" s="45">
        <v>7.3</v>
      </c>
      <c r="K16" s="45">
        <v>7.3</v>
      </c>
      <c r="L16" s="45">
        <v>7.3</v>
      </c>
      <c r="M16" s="45">
        <v>7.3</v>
      </c>
      <c r="N16" s="45">
        <v>7.3</v>
      </c>
      <c r="O16" s="45">
        <v>7.3</v>
      </c>
      <c r="P16" s="45">
        <v>7.3</v>
      </c>
      <c r="Q16" s="45">
        <v>7.3</v>
      </c>
      <c r="R16" s="45">
        <v>7.8</v>
      </c>
      <c r="S16" s="45">
        <v>7.8</v>
      </c>
      <c r="T16" s="45">
        <v>7.8</v>
      </c>
      <c r="U16" s="45">
        <v>7.8</v>
      </c>
      <c r="V16" s="45">
        <v>7.8</v>
      </c>
      <c r="W16" s="45">
        <v>7.8</v>
      </c>
      <c r="X16" s="45">
        <v>7.8</v>
      </c>
      <c r="Y16" s="45">
        <v>8.1999999999999993</v>
      </c>
      <c r="Z16" s="45">
        <v>8.1999999999999993</v>
      </c>
      <c r="AA16" s="45">
        <v>8.1999999999999993</v>
      </c>
      <c r="AB16" s="45">
        <v>8.1999999999999993</v>
      </c>
      <c r="AC16" s="45">
        <v>8.1999999999999993</v>
      </c>
      <c r="AD16" s="45">
        <v>8.1999999999999993</v>
      </c>
      <c r="AE16" s="45">
        <v>7.8</v>
      </c>
      <c r="AF16" s="45">
        <v>8.3000000000000007</v>
      </c>
      <c r="AG16" s="51">
        <v>30</v>
      </c>
      <c r="AH16" s="47">
        <f t="shared" si="2"/>
        <v>8.3000000000000007</v>
      </c>
      <c r="AI16" s="48">
        <f t="shared" si="3"/>
        <v>7.3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7.2</v>
      </c>
      <c r="AF17" s="45">
        <v>7.7</v>
      </c>
      <c r="AG17" s="50">
        <v>24.2</v>
      </c>
      <c r="AH17" s="47">
        <f t="shared" si="2"/>
        <v>7.7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7</v>
      </c>
      <c r="C20" s="45">
        <v>7</v>
      </c>
      <c r="D20" s="45">
        <v>7</v>
      </c>
      <c r="E20" s="45">
        <v>7</v>
      </c>
      <c r="F20" s="45">
        <v>7</v>
      </c>
      <c r="G20" s="45">
        <v>7</v>
      </c>
      <c r="H20" s="45">
        <v>7</v>
      </c>
      <c r="I20" s="45">
        <v>7</v>
      </c>
      <c r="J20" s="45">
        <v>7</v>
      </c>
      <c r="K20" s="45">
        <v>7</v>
      </c>
      <c r="L20" s="45">
        <v>7</v>
      </c>
      <c r="M20" s="45">
        <v>7</v>
      </c>
      <c r="N20" s="45">
        <v>7</v>
      </c>
      <c r="O20" s="45">
        <v>7</v>
      </c>
      <c r="P20" s="45">
        <v>7</v>
      </c>
      <c r="Q20" s="45">
        <v>7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45">
        <v>7.2</v>
      </c>
      <c r="Z20" s="45">
        <v>7.2</v>
      </c>
      <c r="AA20" s="45">
        <v>7.2</v>
      </c>
      <c r="AB20" s="45">
        <v>7.2</v>
      </c>
      <c r="AC20" s="45">
        <v>7.2</v>
      </c>
      <c r="AD20" s="45">
        <v>7.2</v>
      </c>
      <c r="AE20" s="45">
        <v>7.2</v>
      </c>
      <c r="AF20" s="45">
        <v>7.2</v>
      </c>
      <c r="AG20" s="50">
        <v>25</v>
      </c>
      <c r="AH20" s="47">
        <f t="shared" si="2"/>
        <v>7.2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7.5</v>
      </c>
      <c r="AF24" s="45">
        <v>7.3</v>
      </c>
      <c r="AG24" s="50">
        <v>23.5</v>
      </c>
      <c r="AH24" s="47">
        <f t="shared" si="2"/>
        <v>7.5</v>
      </c>
      <c r="AI24" s="48">
        <f t="shared" si="3"/>
        <v>7.3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10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364.1</v>
      </c>
      <c r="C44" s="60">
        <f t="shared" si="4"/>
        <v>364.1</v>
      </c>
      <c r="D44" s="60">
        <f t="shared" si="4"/>
        <v>364.1</v>
      </c>
      <c r="E44" s="60">
        <f t="shared" si="4"/>
        <v>364.1</v>
      </c>
      <c r="F44" s="60">
        <f t="shared" si="4"/>
        <v>364.1</v>
      </c>
      <c r="G44" s="60">
        <f t="shared" si="4"/>
        <v>364.1</v>
      </c>
      <c r="H44" s="60">
        <f t="shared" si="4"/>
        <v>364.1</v>
      </c>
      <c r="I44" s="60">
        <f t="shared" si="4"/>
        <v>364.1</v>
      </c>
      <c r="J44" s="60">
        <f t="shared" si="4"/>
        <v>364.1</v>
      </c>
      <c r="K44" s="60">
        <f t="shared" si="4"/>
        <v>364.1</v>
      </c>
      <c r="L44" s="60">
        <f t="shared" si="4"/>
        <v>364.1</v>
      </c>
      <c r="M44" s="60">
        <f t="shared" si="4"/>
        <v>364.1</v>
      </c>
      <c r="N44" s="60">
        <f t="shared" si="4"/>
        <v>364.1</v>
      </c>
      <c r="O44" s="60">
        <f t="shared" si="4"/>
        <v>364.1</v>
      </c>
      <c r="P44" s="60">
        <f t="shared" si="4"/>
        <v>364.1</v>
      </c>
      <c r="Q44" s="60">
        <f t="shared" si="4"/>
        <v>364.1</v>
      </c>
      <c r="R44" s="60">
        <f t="shared" si="4"/>
        <v>360.9</v>
      </c>
      <c r="S44" s="60">
        <f t="shared" si="4"/>
        <v>360.9</v>
      </c>
      <c r="T44" s="60">
        <f t="shared" si="4"/>
        <v>360.9</v>
      </c>
      <c r="U44" s="60">
        <f t="shared" si="4"/>
        <v>360.9</v>
      </c>
      <c r="V44" s="60">
        <f t="shared" si="4"/>
        <v>360.9</v>
      </c>
      <c r="W44" s="60">
        <f t="shared" si="4"/>
        <v>360.9</v>
      </c>
      <c r="X44" s="60">
        <f t="shared" si="4"/>
        <v>360.9</v>
      </c>
      <c r="Y44" s="60">
        <f t="shared" si="4"/>
        <v>353.5</v>
      </c>
      <c r="Z44" s="60">
        <f t="shared" si="4"/>
        <v>353.5</v>
      </c>
      <c r="AA44" s="60">
        <f t="shared" si="4"/>
        <v>353.5</v>
      </c>
      <c r="AB44" s="60">
        <f t="shared" si="4"/>
        <v>353.5</v>
      </c>
      <c r="AC44" s="60">
        <f t="shared" si="4"/>
        <v>353.5</v>
      </c>
      <c r="AD44" s="60">
        <f t="shared" si="4"/>
        <v>353.5</v>
      </c>
      <c r="AE44" s="60">
        <f>SUM(AE11:AE42)</f>
        <v>358.7</v>
      </c>
      <c r="AF44" s="60">
        <f>SUM(AF11:AF42)</f>
        <v>359.9</v>
      </c>
      <c r="AG44" s="61">
        <f t="shared" si="4"/>
        <v>814.78000000000009</v>
      </c>
      <c r="AH44" s="47">
        <f t="shared" si="2"/>
        <v>364.1</v>
      </c>
      <c r="AI44" s="48">
        <f t="shared" si="3"/>
        <v>353.5</v>
      </c>
      <c r="AK44" s="49"/>
    </row>
    <row r="45" spans="1:88" x14ac:dyDescent="0.25">
      <c r="A45" s="62" t="s">
        <v>53</v>
      </c>
      <c r="B45" s="45">
        <v>15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50</v>
      </c>
      <c r="I45" s="45">
        <v>76</v>
      </c>
      <c r="J45" s="45">
        <v>150</v>
      </c>
      <c r="K45" s="45">
        <v>180</v>
      </c>
      <c r="L45" s="45">
        <v>230</v>
      </c>
      <c r="M45" s="63">
        <v>240</v>
      </c>
      <c r="N45" s="63">
        <v>125</v>
      </c>
      <c r="O45" s="45">
        <v>65.400000000000006</v>
      </c>
      <c r="P45" s="45">
        <v>75</v>
      </c>
      <c r="Q45" s="45">
        <v>106.8</v>
      </c>
      <c r="R45" s="45">
        <v>35</v>
      </c>
      <c r="S45" s="45">
        <v>15</v>
      </c>
      <c r="T45" s="45">
        <v>76</v>
      </c>
      <c r="U45" s="45">
        <v>70</v>
      </c>
      <c r="V45" s="45">
        <v>45</v>
      </c>
      <c r="W45" s="45">
        <v>60</v>
      </c>
      <c r="X45" s="45">
        <v>120</v>
      </c>
      <c r="Y45" s="45">
        <v>120</v>
      </c>
      <c r="Z45" s="45">
        <v>290</v>
      </c>
      <c r="AA45" s="45">
        <v>260</v>
      </c>
      <c r="AB45" s="45">
        <v>110</v>
      </c>
      <c r="AC45" s="45">
        <v>80</v>
      </c>
      <c r="AD45" s="45">
        <v>40</v>
      </c>
      <c r="AE45" s="45">
        <v>45</v>
      </c>
      <c r="AF45" s="45">
        <v>35</v>
      </c>
      <c r="AG45" s="51">
        <v>456</v>
      </c>
      <c r="AH45" s="47">
        <f t="shared" si="2"/>
        <v>290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27</v>
      </c>
      <c r="Z46" s="65">
        <v>27</v>
      </c>
      <c r="AA46" s="65">
        <v>27</v>
      </c>
      <c r="AB46" s="65">
        <v>27</v>
      </c>
      <c r="AC46" s="65">
        <v>27</v>
      </c>
      <c r="AD46" s="65">
        <v>27</v>
      </c>
      <c r="AE46" s="65">
        <v>27</v>
      </c>
      <c r="AF46" s="65">
        <v>27</v>
      </c>
      <c r="AG46" s="54">
        <v>60</v>
      </c>
      <c r="AH46" s="47">
        <f t="shared" si="2"/>
        <v>28</v>
      </c>
      <c r="AI46" s="48">
        <f t="shared" si="3"/>
        <v>27</v>
      </c>
      <c r="AK46" s="49"/>
    </row>
    <row r="47" spans="1:88" ht="15.75" thickBot="1" x14ac:dyDescent="0.3">
      <c r="A47" s="66" t="s">
        <v>55</v>
      </c>
      <c r="B47" s="67">
        <v>15.1</v>
      </c>
      <c r="C47" s="67">
        <v>15.1</v>
      </c>
      <c r="D47" s="67">
        <v>15.1</v>
      </c>
      <c r="E47" s="67">
        <v>15.1</v>
      </c>
      <c r="F47" s="67">
        <v>15.1</v>
      </c>
      <c r="G47" s="67">
        <v>15.1</v>
      </c>
      <c r="H47" s="67">
        <v>15.1</v>
      </c>
      <c r="I47" s="67">
        <v>15.1</v>
      </c>
      <c r="J47" s="67">
        <v>15.1</v>
      </c>
      <c r="K47" s="67">
        <v>15.1</v>
      </c>
      <c r="L47" s="67">
        <v>15.1</v>
      </c>
      <c r="M47" s="67">
        <v>10</v>
      </c>
      <c r="N47" s="67">
        <v>10</v>
      </c>
      <c r="O47" s="67">
        <v>10</v>
      </c>
      <c r="P47" s="67">
        <v>10</v>
      </c>
      <c r="Q47" s="67">
        <v>10</v>
      </c>
      <c r="R47" s="67">
        <v>11.2</v>
      </c>
      <c r="S47" s="67">
        <v>11.2</v>
      </c>
      <c r="T47" s="67">
        <v>11.2</v>
      </c>
      <c r="U47" s="67">
        <v>11.2</v>
      </c>
      <c r="V47" s="67">
        <v>11.2</v>
      </c>
      <c r="W47" s="67">
        <v>11.2</v>
      </c>
      <c r="X47" s="67">
        <v>11.2</v>
      </c>
      <c r="Y47" s="67">
        <v>11.2</v>
      </c>
      <c r="Z47" s="67">
        <v>15</v>
      </c>
      <c r="AA47" s="67">
        <v>15</v>
      </c>
      <c r="AB47" s="67">
        <v>15.2</v>
      </c>
      <c r="AC47" s="67">
        <v>15.2</v>
      </c>
      <c r="AD47" s="67">
        <v>15.1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15.2</v>
      </c>
      <c r="AI47" s="48">
        <f t="shared" si="3"/>
        <v>10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58.1</v>
      </c>
      <c r="C48" s="60">
        <f t="shared" si="5"/>
        <v>43.1</v>
      </c>
      <c r="D48" s="60">
        <f t="shared" si="5"/>
        <v>43.1</v>
      </c>
      <c r="E48" s="60">
        <f t="shared" si="5"/>
        <v>43.1</v>
      </c>
      <c r="F48" s="60">
        <f t="shared" si="5"/>
        <v>43.1</v>
      </c>
      <c r="G48" s="60">
        <f t="shared" si="5"/>
        <v>43.1</v>
      </c>
      <c r="H48" s="60">
        <f t="shared" si="5"/>
        <v>93.1</v>
      </c>
      <c r="I48" s="60">
        <f t="shared" si="5"/>
        <v>119.1</v>
      </c>
      <c r="J48" s="60">
        <f t="shared" si="5"/>
        <v>193.1</v>
      </c>
      <c r="K48" s="60">
        <f t="shared" si="5"/>
        <v>223.1</v>
      </c>
      <c r="L48" s="60">
        <f t="shared" si="5"/>
        <v>273.10000000000002</v>
      </c>
      <c r="M48" s="60">
        <f t="shared" si="5"/>
        <v>278</v>
      </c>
      <c r="N48" s="60">
        <f t="shared" si="5"/>
        <v>163</v>
      </c>
      <c r="O48" s="60">
        <f t="shared" si="5"/>
        <v>103.4</v>
      </c>
      <c r="P48" s="60">
        <f t="shared" si="5"/>
        <v>113</v>
      </c>
      <c r="Q48" s="60">
        <f t="shared" si="5"/>
        <v>144.80000000000001</v>
      </c>
      <c r="R48" s="60">
        <f t="shared" si="5"/>
        <v>74.2</v>
      </c>
      <c r="S48" s="60">
        <f t="shared" si="5"/>
        <v>54.2</v>
      </c>
      <c r="T48" s="60">
        <f t="shared" si="5"/>
        <v>115.2</v>
      </c>
      <c r="U48" s="60">
        <f t="shared" si="5"/>
        <v>109.2</v>
      </c>
      <c r="V48" s="60">
        <f t="shared" si="5"/>
        <v>84.2</v>
      </c>
      <c r="W48" s="60">
        <f t="shared" si="5"/>
        <v>99.2</v>
      </c>
      <c r="X48" s="60">
        <f t="shared" si="5"/>
        <v>159.19999999999999</v>
      </c>
      <c r="Y48" s="60">
        <f t="shared" si="5"/>
        <v>158.19999999999999</v>
      </c>
      <c r="Z48" s="60">
        <f t="shared" si="5"/>
        <v>332</v>
      </c>
      <c r="AA48" s="60">
        <f t="shared" si="5"/>
        <v>302</v>
      </c>
      <c r="AB48" s="60">
        <f t="shared" si="5"/>
        <v>152.19999999999999</v>
      </c>
      <c r="AC48" s="60">
        <f t="shared" si="5"/>
        <v>122.2</v>
      </c>
      <c r="AD48" s="60">
        <f t="shared" si="5"/>
        <v>82.1</v>
      </c>
      <c r="AE48" s="60">
        <f>SUM(AE45:AE47)</f>
        <v>82.2</v>
      </c>
      <c r="AF48" s="60">
        <f>SUM(AF45:AF47)</f>
        <v>72.2</v>
      </c>
      <c r="AG48" s="61">
        <f t="shared" si="5"/>
        <v>538.1</v>
      </c>
      <c r="AH48" s="47">
        <f t="shared" si="2"/>
        <v>332</v>
      </c>
      <c r="AI48" s="48">
        <f t="shared" si="3"/>
        <v>43.1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33.200000000000003</v>
      </c>
      <c r="J49" s="45">
        <v>75</v>
      </c>
      <c r="K49" s="45">
        <v>110.6</v>
      </c>
      <c r="L49" s="45">
        <v>140</v>
      </c>
      <c r="M49" s="45">
        <v>121.9</v>
      </c>
      <c r="N49" s="45">
        <v>71.099999999999994</v>
      </c>
      <c r="O49" s="45">
        <v>57.2</v>
      </c>
      <c r="P49" s="45">
        <v>81.5</v>
      </c>
      <c r="Q49" s="45">
        <v>70.8</v>
      </c>
      <c r="R49" s="45">
        <v>81.900000000000006</v>
      </c>
      <c r="S49" s="45">
        <v>91.6</v>
      </c>
      <c r="T49" s="45">
        <v>71.400000000000006</v>
      </c>
      <c r="U49" s="45">
        <v>81.5</v>
      </c>
      <c r="V49" s="45">
        <v>71</v>
      </c>
      <c r="W49" s="45">
        <v>61</v>
      </c>
      <c r="X49" s="45">
        <v>82.9</v>
      </c>
      <c r="Y49" s="45">
        <v>140</v>
      </c>
      <c r="Z49" s="45">
        <v>127</v>
      </c>
      <c r="AA49" s="45">
        <v>86.1</v>
      </c>
      <c r="AB49" s="45">
        <v>73.3</v>
      </c>
      <c r="AC49" s="45">
        <v>61.4</v>
      </c>
      <c r="AD49" s="45">
        <v>57.2</v>
      </c>
      <c r="AE49" s="45">
        <v>64.900000000000006</v>
      </c>
      <c r="AF49" s="45">
        <v>0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25</v>
      </c>
      <c r="C50" s="65">
        <v>25</v>
      </c>
      <c r="D50" s="65">
        <v>26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60.1</v>
      </c>
      <c r="N50" s="65">
        <v>49.7</v>
      </c>
      <c r="O50" s="65">
        <v>23.5</v>
      </c>
      <c r="P50" s="65">
        <v>44.3</v>
      </c>
      <c r="Q50" s="65">
        <v>35</v>
      </c>
      <c r="R50" s="45">
        <v>36.9</v>
      </c>
      <c r="S50" s="45">
        <v>34.9</v>
      </c>
      <c r="T50" s="45">
        <v>30.3</v>
      </c>
      <c r="U50" s="45">
        <v>30.3</v>
      </c>
      <c r="V50" s="45">
        <v>30.3</v>
      </c>
      <c r="W50" s="45">
        <v>20</v>
      </c>
      <c r="X50" s="45">
        <v>30.8</v>
      </c>
      <c r="Y50" s="45">
        <v>58</v>
      </c>
      <c r="Z50" s="45">
        <v>57</v>
      </c>
      <c r="AA50" s="45">
        <v>34.700000000000003</v>
      </c>
      <c r="AB50" s="45">
        <v>19.600000000000001</v>
      </c>
      <c r="AC50" s="65">
        <v>0</v>
      </c>
      <c r="AD50" s="65">
        <v>0</v>
      </c>
      <c r="AE50" s="65">
        <v>0</v>
      </c>
      <c r="AF50" s="65">
        <v>24.8</v>
      </c>
      <c r="AG50" s="54">
        <v>70</v>
      </c>
      <c r="AH50" s="47">
        <f t="shared" si="2"/>
        <v>60.1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15</v>
      </c>
      <c r="C51" s="65">
        <v>23</v>
      </c>
      <c r="D51" s="65">
        <v>15.6</v>
      </c>
      <c r="E51" s="65">
        <v>0</v>
      </c>
      <c r="F51" s="65">
        <v>16</v>
      </c>
      <c r="G51" s="65">
        <v>23</v>
      </c>
      <c r="H51" s="65">
        <v>34.299999999999997</v>
      </c>
      <c r="I51" s="65">
        <v>45.8</v>
      </c>
      <c r="J51" s="65">
        <v>45.4</v>
      </c>
      <c r="K51" s="65">
        <v>39</v>
      </c>
      <c r="L51" s="65">
        <v>46</v>
      </c>
      <c r="M51" s="65">
        <v>45.9</v>
      </c>
      <c r="N51" s="65">
        <v>32.9</v>
      </c>
      <c r="O51" s="65">
        <v>23.1</v>
      </c>
      <c r="P51" s="65">
        <v>35.299999999999997</v>
      </c>
      <c r="Q51" s="65">
        <v>35</v>
      </c>
      <c r="R51" s="45">
        <v>32.200000000000003</v>
      </c>
      <c r="S51" s="45">
        <v>40.5</v>
      </c>
      <c r="T51" s="45">
        <v>45.6</v>
      </c>
      <c r="U51" s="45">
        <v>45.6</v>
      </c>
      <c r="V51" s="45">
        <v>31.3</v>
      </c>
      <c r="W51" s="45">
        <v>32</v>
      </c>
      <c r="X51" s="45">
        <v>45.4</v>
      </c>
      <c r="Y51" s="45">
        <v>64</v>
      </c>
      <c r="Z51" s="45">
        <v>56</v>
      </c>
      <c r="AA51" s="45">
        <v>58</v>
      </c>
      <c r="AB51" s="45">
        <v>49.9</v>
      </c>
      <c r="AC51" s="65">
        <v>33.200000000000003</v>
      </c>
      <c r="AD51" s="65">
        <v>44.1</v>
      </c>
      <c r="AE51" s="65">
        <v>46</v>
      </c>
      <c r="AF51" s="65">
        <v>34.6</v>
      </c>
      <c r="AG51" s="54">
        <v>69</v>
      </c>
      <c r="AH51" s="47">
        <f t="shared" si="2"/>
        <v>64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44.6</v>
      </c>
      <c r="C52" s="56">
        <v>44.6</v>
      </c>
      <c r="D52" s="56">
        <v>44.6</v>
      </c>
      <c r="E52" s="56">
        <v>44.6</v>
      </c>
      <c r="F52" s="56">
        <v>44.6</v>
      </c>
      <c r="G52" s="56">
        <v>44.6</v>
      </c>
      <c r="H52" s="56">
        <v>42.3</v>
      </c>
      <c r="I52" s="56">
        <v>42.3</v>
      </c>
      <c r="J52" s="56">
        <v>42.3</v>
      </c>
      <c r="K52" s="56">
        <v>42.3</v>
      </c>
      <c r="L52" s="56">
        <v>42.3</v>
      </c>
      <c r="M52" s="65">
        <v>40.299999999999997</v>
      </c>
      <c r="N52" s="65">
        <v>40.6</v>
      </c>
      <c r="O52" s="65">
        <v>41.1</v>
      </c>
      <c r="P52" s="65">
        <v>41.1</v>
      </c>
      <c r="Q52" s="65">
        <v>45.3</v>
      </c>
      <c r="R52" s="45">
        <v>43.3</v>
      </c>
      <c r="S52" s="45">
        <v>43.3</v>
      </c>
      <c r="T52" s="45">
        <v>43.3</v>
      </c>
      <c r="U52" s="45">
        <v>43.3</v>
      </c>
      <c r="V52" s="45">
        <v>43.3</v>
      </c>
      <c r="W52" s="45">
        <v>43.3</v>
      </c>
      <c r="X52" s="45">
        <v>43.3</v>
      </c>
      <c r="Y52" s="65">
        <v>42</v>
      </c>
      <c r="Z52" s="65">
        <v>40.299999999999997</v>
      </c>
      <c r="AA52" s="65">
        <v>40.299999999999997</v>
      </c>
      <c r="AB52" s="65">
        <v>40.299999999999997</v>
      </c>
      <c r="AC52" s="65">
        <v>40.299999999999997</v>
      </c>
      <c r="AD52" s="65">
        <v>40.299999999999997</v>
      </c>
      <c r="AE52" s="65">
        <v>42.3</v>
      </c>
      <c r="AF52" s="65">
        <v>44.6</v>
      </c>
      <c r="AG52" s="54">
        <v>60</v>
      </c>
      <c r="AH52" s="47">
        <f t="shared" si="2"/>
        <v>45.3</v>
      </c>
      <c r="AI52" s="48">
        <f t="shared" si="3"/>
        <v>40.299999999999997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13</v>
      </c>
      <c r="J53" s="56">
        <v>29</v>
      </c>
      <c r="K53" s="56">
        <v>28</v>
      </c>
      <c r="L53" s="56">
        <v>22</v>
      </c>
      <c r="M53" s="65">
        <v>25</v>
      </c>
      <c r="N53" s="65">
        <v>28</v>
      </c>
      <c r="O53" s="65">
        <v>0</v>
      </c>
      <c r="P53" s="65">
        <v>0</v>
      </c>
      <c r="Q53" s="6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12</v>
      </c>
      <c r="X53" s="65">
        <v>15</v>
      </c>
      <c r="Y53" s="65">
        <v>30</v>
      </c>
      <c r="Z53" s="65">
        <v>30</v>
      </c>
      <c r="AA53" s="65">
        <v>30</v>
      </c>
      <c r="AB53" s="65">
        <v>13</v>
      </c>
      <c r="AC53" s="65">
        <v>13</v>
      </c>
      <c r="AD53" s="65">
        <v>13</v>
      </c>
      <c r="AE53" s="65">
        <v>13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8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10.1</v>
      </c>
      <c r="C57" s="65">
        <v>10.1</v>
      </c>
      <c r="D57" s="65">
        <v>10.1</v>
      </c>
      <c r="E57" s="65">
        <v>10.1</v>
      </c>
      <c r="F57" s="65">
        <v>10.1</v>
      </c>
      <c r="G57" s="65">
        <v>10.1</v>
      </c>
      <c r="H57" s="65">
        <v>10.1</v>
      </c>
      <c r="I57" s="65">
        <v>10.1</v>
      </c>
      <c r="J57" s="65">
        <v>10.1</v>
      </c>
      <c r="K57" s="65">
        <v>10.1</v>
      </c>
      <c r="L57" s="65">
        <v>10.1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10.1</v>
      </c>
      <c r="U57" s="65">
        <v>10.1</v>
      </c>
      <c r="V57" s="65">
        <v>10.1</v>
      </c>
      <c r="W57" s="65">
        <v>10.1</v>
      </c>
      <c r="X57" s="65">
        <v>10.1</v>
      </c>
      <c r="Y57" s="65">
        <v>10.1</v>
      </c>
      <c r="Z57" s="65">
        <v>10.1</v>
      </c>
      <c r="AA57" s="65">
        <v>10.1</v>
      </c>
      <c r="AB57" s="65">
        <v>10.1</v>
      </c>
      <c r="AC57" s="65">
        <v>10.1</v>
      </c>
      <c r="AD57" s="65">
        <v>10.1</v>
      </c>
      <c r="AE57" s="65">
        <v>10.1</v>
      </c>
      <c r="AF57" s="65">
        <v>10.1</v>
      </c>
      <c r="AG57" s="54">
        <v>14.1</v>
      </c>
      <c r="AH57" s="47">
        <f t="shared" si="2"/>
        <v>10.1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129.84</v>
      </c>
      <c r="C62" s="60">
        <f t="shared" si="6"/>
        <v>137.83999999999997</v>
      </c>
      <c r="D62" s="60">
        <f t="shared" si="6"/>
        <v>131.44</v>
      </c>
      <c r="E62" s="60">
        <f t="shared" si="6"/>
        <v>89.840000000000018</v>
      </c>
      <c r="F62" s="60">
        <f t="shared" si="6"/>
        <v>105.84</v>
      </c>
      <c r="G62" s="60">
        <f t="shared" si="6"/>
        <v>112.84</v>
      </c>
      <c r="H62" s="60">
        <f t="shared" si="6"/>
        <v>121.84</v>
      </c>
      <c r="I62" s="60">
        <f t="shared" si="6"/>
        <v>179.53999999999996</v>
      </c>
      <c r="J62" s="60">
        <f t="shared" si="6"/>
        <v>236.93999999999994</v>
      </c>
      <c r="K62" s="60">
        <f t="shared" si="6"/>
        <v>265.14</v>
      </c>
      <c r="L62" s="60">
        <f t="shared" si="6"/>
        <v>295.54000000000002</v>
      </c>
      <c r="M62" s="60">
        <f t="shared" si="6"/>
        <v>338.44</v>
      </c>
      <c r="N62" s="60">
        <f t="shared" si="6"/>
        <v>267.53999999999996</v>
      </c>
      <c r="O62" s="60">
        <f t="shared" si="6"/>
        <v>190.13999999999996</v>
      </c>
      <c r="P62" s="60">
        <f t="shared" si="6"/>
        <v>247.43999999999994</v>
      </c>
      <c r="Q62" s="60">
        <f t="shared" si="6"/>
        <v>231.33999999999997</v>
      </c>
      <c r="R62" s="60">
        <f t="shared" si="6"/>
        <v>239.53999999999996</v>
      </c>
      <c r="S62" s="60">
        <f t="shared" si="6"/>
        <v>263.54000000000002</v>
      </c>
      <c r="T62" s="60">
        <f t="shared" si="6"/>
        <v>243.83999999999997</v>
      </c>
      <c r="U62" s="60">
        <f t="shared" si="6"/>
        <v>253.93999999999994</v>
      </c>
      <c r="V62" s="60">
        <f t="shared" si="6"/>
        <v>229.13999999999993</v>
      </c>
      <c r="W62" s="60">
        <f t="shared" si="6"/>
        <v>213.53999999999996</v>
      </c>
      <c r="X62" s="60">
        <f t="shared" si="6"/>
        <v>262.64</v>
      </c>
      <c r="Y62" s="60">
        <f t="shared" si="6"/>
        <v>379.24</v>
      </c>
      <c r="Z62" s="60">
        <f t="shared" si="6"/>
        <v>355.54</v>
      </c>
      <c r="AA62" s="60">
        <f t="shared" si="6"/>
        <v>294.34000000000003</v>
      </c>
      <c r="AB62" s="60">
        <f t="shared" si="6"/>
        <v>241.33999999999997</v>
      </c>
      <c r="AC62" s="60">
        <f t="shared" si="6"/>
        <v>193.13999999999993</v>
      </c>
      <c r="AD62" s="60">
        <f t="shared" si="6"/>
        <v>199.83999999999997</v>
      </c>
      <c r="AE62" s="60">
        <f>SUM(AE49:AE61)</f>
        <v>211.43999999999994</v>
      </c>
      <c r="AF62" s="60">
        <f>SUM(AF49:AF61)</f>
        <v>149.23999999999998</v>
      </c>
      <c r="AG62" s="61">
        <f t="shared" si="6"/>
        <v>489.91</v>
      </c>
      <c r="AH62" s="47">
        <f t="shared" si="2"/>
        <v>379.24</v>
      </c>
      <c r="AI62" s="48">
        <f t="shared" si="3"/>
        <v>89.840000000000018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24</v>
      </c>
      <c r="I63" s="45">
        <v>24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50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50</v>
      </c>
      <c r="W63" s="45">
        <v>34</v>
      </c>
      <c r="X63" s="45">
        <v>60</v>
      </c>
      <c r="Y63" s="45">
        <v>50</v>
      </c>
      <c r="Z63" s="45">
        <v>44</v>
      </c>
      <c r="AA63" s="45">
        <v>44</v>
      </c>
      <c r="AB63" s="45">
        <v>34</v>
      </c>
      <c r="AC63" s="45">
        <v>15</v>
      </c>
      <c r="AD63" s="45">
        <v>30</v>
      </c>
      <c r="AE63" s="45">
        <v>15</v>
      </c>
      <c r="AF63" s="45">
        <v>15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11.2</v>
      </c>
      <c r="I64" s="65">
        <v>14.4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16</v>
      </c>
      <c r="Q64" s="45">
        <v>30</v>
      </c>
      <c r="R64" s="45">
        <v>30</v>
      </c>
      <c r="S64" s="65">
        <v>28.4</v>
      </c>
      <c r="T64" s="65">
        <v>28.4</v>
      </c>
      <c r="U64" s="65">
        <v>28.4</v>
      </c>
      <c r="V64" s="65">
        <v>24.5</v>
      </c>
      <c r="W64" s="65">
        <v>13.7</v>
      </c>
      <c r="X64" s="65">
        <v>28</v>
      </c>
      <c r="Y64" s="65">
        <v>28.4</v>
      </c>
      <c r="Z64" s="65">
        <v>19.2</v>
      </c>
      <c r="AA64" s="65">
        <v>17.399999999999999</v>
      </c>
      <c r="AB64" s="65">
        <v>14.2</v>
      </c>
      <c r="AC64" s="65">
        <v>12.8</v>
      </c>
      <c r="AD64" s="65">
        <v>5.5</v>
      </c>
      <c r="AE64" s="65">
        <v>9.6</v>
      </c>
      <c r="AF64" s="65">
        <v>9.6</v>
      </c>
      <c r="AG64" s="54">
        <v>32</v>
      </c>
      <c r="AH64" s="47">
        <f t="shared" si="2"/>
        <v>30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4.0999999999999996</v>
      </c>
      <c r="I65" s="67">
        <v>5.3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5.8</v>
      </c>
      <c r="Q65" s="45">
        <v>11</v>
      </c>
      <c r="R65" s="45">
        <v>11</v>
      </c>
      <c r="S65" s="67">
        <v>10.4</v>
      </c>
      <c r="T65" s="67">
        <v>10.4</v>
      </c>
      <c r="U65" s="67">
        <v>10.4</v>
      </c>
      <c r="V65" s="67">
        <v>8.6</v>
      </c>
      <c r="W65" s="67">
        <v>5</v>
      </c>
      <c r="X65" s="67">
        <v>10</v>
      </c>
      <c r="Y65" s="67">
        <v>10.4</v>
      </c>
      <c r="Z65" s="67">
        <v>7</v>
      </c>
      <c r="AA65" s="67">
        <v>6.3</v>
      </c>
      <c r="AB65" s="67">
        <v>5.2</v>
      </c>
      <c r="AC65" s="67">
        <v>4.7</v>
      </c>
      <c r="AD65" s="67">
        <v>2</v>
      </c>
      <c r="AE65" s="67">
        <v>3.5</v>
      </c>
      <c r="AF65" s="67">
        <v>3.5</v>
      </c>
      <c r="AG65" s="68">
        <v>14</v>
      </c>
      <c r="AH65" s="47">
        <f t="shared" si="2"/>
        <v>11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>M63+M64+M65</f>
        <v>0</v>
      </c>
      <c r="N66" s="60">
        <f t="shared" ref="N66:AD66" si="7">N63+N64+N65</f>
        <v>0</v>
      </c>
      <c r="O66" s="60">
        <f t="shared" si="7"/>
        <v>0</v>
      </c>
      <c r="P66" s="60">
        <f t="shared" si="7"/>
        <v>71.8</v>
      </c>
      <c r="Q66" s="60">
        <f t="shared" si="7"/>
        <v>101</v>
      </c>
      <c r="R66" s="60">
        <f t="shared" si="7"/>
        <v>101</v>
      </c>
      <c r="S66" s="60">
        <f t="shared" si="7"/>
        <v>98.800000000000011</v>
      </c>
      <c r="T66" s="60">
        <f t="shared" si="7"/>
        <v>98.800000000000011</v>
      </c>
      <c r="U66" s="60">
        <f t="shared" si="7"/>
        <v>98.800000000000011</v>
      </c>
      <c r="V66" s="60">
        <f t="shared" si="7"/>
        <v>83.1</v>
      </c>
      <c r="W66" s="60">
        <f t="shared" si="7"/>
        <v>52.7</v>
      </c>
      <c r="X66" s="60">
        <f t="shared" si="7"/>
        <v>98</v>
      </c>
      <c r="Y66" s="60">
        <f t="shared" si="7"/>
        <v>88.800000000000011</v>
      </c>
      <c r="Z66" s="60">
        <f t="shared" si="7"/>
        <v>70.2</v>
      </c>
      <c r="AA66" s="60">
        <f t="shared" si="7"/>
        <v>67.7</v>
      </c>
      <c r="AB66" s="60">
        <f t="shared" si="7"/>
        <v>53.400000000000006</v>
      </c>
      <c r="AC66" s="60">
        <f t="shared" si="7"/>
        <v>32.5</v>
      </c>
      <c r="AD66" s="60">
        <f t="shared" si="7"/>
        <v>37.5</v>
      </c>
      <c r="AE66" s="60">
        <f>AE63+AE64+AE65</f>
        <v>28.1</v>
      </c>
      <c r="AF66" s="60">
        <f>AF63+AF64+AF65</f>
        <v>28.1</v>
      </c>
      <c r="AG66" s="61">
        <f>SUM(AG63:AG65)</f>
        <v>106</v>
      </c>
      <c r="AH66" s="47">
        <f t="shared" si="2"/>
        <v>101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70</v>
      </c>
      <c r="C67" s="45">
        <v>69</v>
      </c>
      <c r="D67" s="45">
        <v>67</v>
      </c>
      <c r="E67" s="45">
        <v>67</v>
      </c>
      <c r="F67" s="45">
        <v>67</v>
      </c>
      <c r="G67" s="45">
        <v>71.3</v>
      </c>
      <c r="H67" s="45">
        <v>69.599999999999994</v>
      </c>
      <c r="I67" s="45">
        <v>76</v>
      </c>
      <c r="J67" s="45">
        <v>63</v>
      </c>
      <c r="K67" s="45">
        <v>53.4</v>
      </c>
      <c r="L67" s="45">
        <v>60.5</v>
      </c>
      <c r="M67" s="45">
        <v>58</v>
      </c>
      <c r="N67" s="45">
        <v>49.2</v>
      </c>
      <c r="O67" s="45">
        <v>63</v>
      </c>
      <c r="P67" s="45">
        <v>72</v>
      </c>
      <c r="Q67" s="45">
        <v>72</v>
      </c>
      <c r="R67" s="45">
        <v>71.3</v>
      </c>
      <c r="S67" s="45">
        <v>72.900000000000006</v>
      </c>
      <c r="T67" s="45">
        <v>78.400000000000006</v>
      </c>
      <c r="U67" s="45">
        <v>69.7</v>
      </c>
      <c r="V67" s="45">
        <v>63.9</v>
      </c>
      <c r="W67" s="45">
        <v>54</v>
      </c>
      <c r="X67" s="45">
        <v>59</v>
      </c>
      <c r="Y67" s="45">
        <v>51.6</v>
      </c>
      <c r="Z67" s="45">
        <v>43.5</v>
      </c>
      <c r="AA67" s="45">
        <v>41</v>
      </c>
      <c r="AB67" s="45">
        <v>67.099999999999994</v>
      </c>
      <c r="AC67" s="45">
        <v>65.7</v>
      </c>
      <c r="AD67" s="45">
        <v>66.099999999999994</v>
      </c>
      <c r="AE67" s="45">
        <v>63.1</v>
      </c>
      <c r="AF67" s="45">
        <v>58.6</v>
      </c>
      <c r="AG67" s="51"/>
      <c r="AH67" s="47">
        <f t="shared" si="2"/>
        <v>78.400000000000006</v>
      </c>
      <c r="AI67" s="48">
        <f t="shared" si="3"/>
        <v>41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330</v>
      </c>
      <c r="C69" s="65">
        <v>348</v>
      </c>
      <c r="D69" s="65">
        <v>335</v>
      </c>
      <c r="E69" s="65">
        <v>340</v>
      </c>
      <c r="F69" s="65">
        <v>355</v>
      </c>
      <c r="G69" s="65">
        <v>380</v>
      </c>
      <c r="H69" s="65">
        <v>342</v>
      </c>
      <c r="I69" s="65">
        <v>350</v>
      </c>
      <c r="J69" s="65">
        <v>290</v>
      </c>
      <c r="K69" s="65">
        <v>215</v>
      </c>
      <c r="L69" s="65">
        <v>180</v>
      </c>
      <c r="M69" s="65">
        <v>187.9</v>
      </c>
      <c r="N69" s="65">
        <v>319.10000000000002</v>
      </c>
      <c r="O69" s="65">
        <v>344.1</v>
      </c>
      <c r="P69" s="65">
        <v>346</v>
      </c>
      <c r="Q69" s="65">
        <v>346</v>
      </c>
      <c r="R69" s="65">
        <v>351</v>
      </c>
      <c r="S69" s="65">
        <v>348</v>
      </c>
      <c r="T69" s="65">
        <v>339</v>
      </c>
      <c r="U69" s="65">
        <v>322</v>
      </c>
      <c r="V69" s="65">
        <v>335.4</v>
      </c>
      <c r="W69" s="65">
        <v>338</v>
      </c>
      <c r="X69" s="65">
        <v>293</v>
      </c>
      <c r="Y69" s="65">
        <v>267</v>
      </c>
      <c r="Z69" s="65">
        <v>90.3</v>
      </c>
      <c r="AA69" s="65">
        <v>169</v>
      </c>
      <c r="AB69" s="65">
        <v>266.2</v>
      </c>
      <c r="AC69" s="65">
        <v>318.89999999999998</v>
      </c>
      <c r="AD69" s="65">
        <v>333.5</v>
      </c>
      <c r="AE69" s="65">
        <v>345</v>
      </c>
      <c r="AF69" s="65">
        <v>341.2</v>
      </c>
      <c r="AG69" s="75"/>
      <c r="AH69" s="47">
        <f t="shared" si="2"/>
        <v>380</v>
      </c>
      <c r="AI69" s="48">
        <f t="shared" si="3"/>
        <v>90.3</v>
      </c>
      <c r="AK69" s="49"/>
    </row>
    <row r="70" spans="1:40" x14ac:dyDescent="0.25">
      <c r="A70" s="53" t="s">
        <v>78</v>
      </c>
      <c r="B70" s="76">
        <v>60</v>
      </c>
      <c r="C70" s="76">
        <v>56</v>
      </c>
      <c r="D70" s="76">
        <v>64</v>
      </c>
      <c r="E70" s="76">
        <v>64</v>
      </c>
      <c r="F70" s="76">
        <v>64</v>
      </c>
      <c r="G70" s="76">
        <v>64</v>
      </c>
      <c r="H70" s="76">
        <v>62.6</v>
      </c>
      <c r="I70" s="76">
        <v>62.6</v>
      </c>
      <c r="J70" s="76">
        <v>62.6</v>
      </c>
      <c r="K70" s="76">
        <v>40</v>
      </c>
      <c r="L70" s="76">
        <v>42.1</v>
      </c>
      <c r="M70" s="76">
        <v>42.7</v>
      </c>
      <c r="N70" s="76">
        <v>51.7</v>
      </c>
      <c r="O70" s="76">
        <v>59.5</v>
      </c>
      <c r="P70" s="76">
        <v>59.5</v>
      </c>
      <c r="Q70" s="76">
        <v>59</v>
      </c>
      <c r="R70" s="76">
        <v>59</v>
      </c>
      <c r="S70" s="76">
        <v>70.3</v>
      </c>
      <c r="T70" s="76">
        <v>71.400000000000006</v>
      </c>
      <c r="U70" s="76">
        <v>68.7</v>
      </c>
      <c r="V70" s="76">
        <v>38</v>
      </c>
      <c r="W70" s="76">
        <v>42.5</v>
      </c>
      <c r="X70" s="65">
        <v>50.9</v>
      </c>
      <c r="Y70" s="65">
        <v>54</v>
      </c>
      <c r="Z70" s="65">
        <v>56.8</v>
      </c>
      <c r="AA70" s="65">
        <v>56.5</v>
      </c>
      <c r="AB70" s="65">
        <v>53.3</v>
      </c>
      <c r="AC70" s="65">
        <v>57.5</v>
      </c>
      <c r="AD70" s="65">
        <v>48.5</v>
      </c>
      <c r="AE70" s="65">
        <v>54.3</v>
      </c>
      <c r="AF70" s="65">
        <v>60.2</v>
      </c>
      <c r="AG70" s="75"/>
      <c r="AH70" s="47">
        <f t="shared" si="2"/>
        <v>71.400000000000006</v>
      </c>
      <c r="AI70" s="48">
        <f t="shared" si="3"/>
        <v>38</v>
      </c>
      <c r="AK70" s="49"/>
    </row>
    <row r="71" spans="1:40" x14ac:dyDescent="0.25">
      <c r="A71" s="53" t="s">
        <v>79</v>
      </c>
      <c r="B71" s="45">
        <v>25</v>
      </c>
      <c r="C71" s="45">
        <v>25</v>
      </c>
      <c r="D71" s="45">
        <v>25</v>
      </c>
      <c r="E71" s="45">
        <v>25</v>
      </c>
      <c r="F71" s="45">
        <v>25</v>
      </c>
      <c r="G71" s="45">
        <v>25</v>
      </c>
      <c r="H71" s="45">
        <v>25</v>
      </c>
      <c r="I71" s="45">
        <v>25</v>
      </c>
      <c r="J71" s="45">
        <v>25</v>
      </c>
      <c r="K71" s="45">
        <v>60</v>
      </c>
      <c r="L71" s="45">
        <v>64</v>
      </c>
      <c r="M71" s="45">
        <v>72</v>
      </c>
      <c r="N71" s="45">
        <v>75</v>
      </c>
      <c r="O71" s="45">
        <v>72</v>
      </c>
      <c r="P71" s="45">
        <v>35</v>
      </c>
      <c r="Q71" s="45">
        <v>35</v>
      </c>
      <c r="R71" s="45">
        <v>35</v>
      </c>
      <c r="S71" s="45">
        <v>35</v>
      </c>
      <c r="T71" s="45">
        <v>38</v>
      </c>
      <c r="U71" s="45">
        <v>38</v>
      </c>
      <c r="V71" s="45">
        <v>38</v>
      </c>
      <c r="W71" s="45">
        <v>38</v>
      </c>
      <c r="X71" s="45">
        <v>32</v>
      </c>
      <c r="Y71" s="45">
        <v>48</v>
      </c>
      <c r="Z71" s="45">
        <v>48</v>
      </c>
      <c r="AA71" s="45">
        <v>48</v>
      </c>
      <c r="AB71" s="45">
        <v>47</v>
      </c>
      <c r="AC71" s="45">
        <v>50</v>
      </c>
      <c r="AD71" s="45">
        <v>20</v>
      </c>
      <c r="AE71" s="45">
        <v>25</v>
      </c>
      <c r="AF71" s="45">
        <v>25</v>
      </c>
      <c r="AG71" s="75"/>
      <c r="AH71" s="47">
        <f t="shared" si="2"/>
        <v>75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D78" si="10">SUMIF(B67:B77,"&gt;0")</f>
        <v>490</v>
      </c>
      <c r="C78" s="60">
        <f t="shared" si="10"/>
        <v>503</v>
      </c>
      <c r="D78" s="60">
        <f t="shared" si="10"/>
        <v>496</v>
      </c>
      <c r="E78" s="60">
        <f t="shared" si="10"/>
        <v>501</v>
      </c>
      <c r="F78" s="60">
        <f t="shared" si="10"/>
        <v>516</v>
      </c>
      <c r="G78" s="60">
        <f t="shared" si="10"/>
        <v>545.29999999999995</v>
      </c>
      <c r="H78" s="60">
        <f t="shared" si="10"/>
        <v>504.20000000000005</v>
      </c>
      <c r="I78" s="60">
        <f t="shared" si="10"/>
        <v>518.6</v>
      </c>
      <c r="J78" s="60">
        <f t="shared" si="10"/>
        <v>445.6</v>
      </c>
      <c r="K78" s="60">
        <f t="shared" si="10"/>
        <v>373.4</v>
      </c>
      <c r="L78" s="60">
        <f t="shared" si="10"/>
        <v>351.6</v>
      </c>
      <c r="M78" s="60">
        <f t="shared" si="10"/>
        <v>365.6</v>
      </c>
      <c r="N78" s="60">
        <f t="shared" si="10"/>
        <v>500</v>
      </c>
      <c r="O78" s="60">
        <f t="shared" si="10"/>
        <v>543.6</v>
      </c>
      <c r="P78" s="60">
        <f t="shared" si="10"/>
        <v>517.5</v>
      </c>
      <c r="Q78" s="60">
        <f t="shared" si="10"/>
        <v>517</v>
      </c>
      <c r="R78" s="60">
        <f t="shared" si="10"/>
        <v>521.29999999999995</v>
      </c>
      <c r="S78" s="60">
        <f t="shared" si="10"/>
        <v>531.20000000000005</v>
      </c>
      <c r="T78" s="60">
        <f t="shared" si="10"/>
        <v>531.79999999999995</v>
      </c>
      <c r="U78" s="60">
        <f t="shared" si="10"/>
        <v>503.4</v>
      </c>
      <c r="V78" s="60">
        <f t="shared" si="10"/>
        <v>480.29999999999995</v>
      </c>
      <c r="W78" s="60">
        <f t="shared" si="10"/>
        <v>477.5</v>
      </c>
      <c r="X78" s="60">
        <f t="shared" si="10"/>
        <v>439.9</v>
      </c>
      <c r="Y78" s="60">
        <f t="shared" si="10"/>
        <v>425.6</v>
      </c>
      <c r="Z78" s="60">
        <f t="shared" si="10"/>
        <v>243.60000000000002</v>
      </c>
      <c r="AA78" s="60">
        <f t="shared" si="10"/>
        <v>319.5</v>
      </c>
      <c r="AB78" s="60">
        <f t="shared" si="10"/>
        <v>438.59999999999997</v>
      </c>
      <c r="AC78" s="60">
        <f t="shared" si="10"/>
        <v>497.09999999999997</v>
      </c>
      <c r="AD78" s="60">
        <f t="shared" si="10"/>
        <v>473.1</v>
      </c>
      <c r="AE78" s="60">
        <f>SUMIF(AE67:AE77,"&gt;0")</f>
        <v>492.40000000000003</v>
      </c>
      <c r="AF78" s="60">
        <f>SUMIF(AF67:AF77,"&gt;0")</f>
        <v>490</v>
      </c>
      <c r="AG78" s="88">
        <f>SUM(AG67:AG77)</f>
        <v>0</v>
      </c>
      <c r="AH78" s="47">
        <f t="shared" si="8"/>
        <v>545.29999999999995</v>
      </c>
      <c r="AI78" s="48">
        <f t="shared" si="9"/>
        <v>243.60000000000002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1042.04</v>
      </c>
      <c r="C83" s="95">
        <f t="shared" ref="C83:AG83" si="11">C44+C48+C66+C62+C78+C82</f>
        <v>1048.04</v>
      </c>
      <c r="D83" s="95">
        <f t="shared" si="11"/>
        <v>1034.6400000000001</v>
      </c>
      <c r="E83" s="95">
        <f t="shared" si="11"/>
        <v>998.04000000000008</v>
      </c>
      <c r="F83" s="95">
        <f t="shared" si="11"/>
        <v>1029.04</v>
      </c>
      <c r="G83" s="95">
        <f t="shared" si="11"/>
        <v>1065.3400000000001</v>
      </c>
      <c r="H83" s="95">
        <f t="shared" si="11"/>
        <v>1083.2400000000002</v>
      </c>
      <c r="I83" s="95">
        <f t="shared" si="11"/>
        <v>1181.3400000000001</v>
      </c>
      <c r="J83" s="95">
        <f t="shared" si="11"/>
        <v>1239.74</v>
      </c>
      <c r="K83" s="95">
        <f t="shared" si="11"/>
        <v>1225.74</v>
      </c>
      <c r="L83" s="95">
        <f t="shared" si="11"/>
        <v>1284.3400000000001</v>
      </c>
      <c r="M83" s="95">
        <f t="shared" si="11"/>
        <v>1346.1399999999999</v>
      </c>
      <c r="N83" s="95">
        <f t="shared" si="11"/>
        <v>1294.6399999999999</v>
      </c>
      <c r="O83" s="95">
        <f t="shared" si="11"/>
        <v>1201.24</v>
      </c>
      <c r="P83" s="95">
        <f t="shared" si="11"/>
        <v>1313.84</v>
      </c>
      <c r="Q83" s="95">
        <f t="shared" si="11"/>
        <v>1358.24</v>
      </c>
      <c r="R83" s="95">
        <f t="shared" si="11"/>
        <v>1296.9399999999998</v>
      </c>
      <c r="S83" s="95">
        <f t="shared" si="11"/>
        <v>1308.6400000000001</v>
      </c>
      <c r="T83" s="95">
        <f t="shared" si="11"/>
        <v>1350.54</v>
      </c>
      <c r="U83" s="95">
        <f t="shared" si="11"/>
        <v>1326.2399999999998</v>
      </c>
      <c r="V83" s="95">
        <f t="shared" si="11"/>
        <v>1237.6399999999999</v>
      </c>
      <c r="W83" s="95">
        <f t="shared" si="11"/>
        <v>1203.8399999999999</v>
      </c>
      <c r="X83" s="95">
        <f t="shared" si="11"/>
        <v>1320.6399999999999</v>
      </c>
      <c r="Y83" s="95">
        <f t="shared" si="11"/>
        <v>1405.3400000000001</v>
      </c>
      <c r="Z83" s="95">
        <f t="shared" si="11"/>
        <v>1354.8400000000001</v>
      </c>
      <c r="AA83" s="95">
        <f t="shared" si="11"/>
        <v>1337.04</v>
      </c>
      <c r="AB83" s="95">
        <f t="shared" si="11"/>
        <v>1239.04</v>
      </c>
      <c r="AC83" s="95">
        <f t="shared" si="11"/>
        <v>1198.4399999999998</v>
      </c>
      <c r="AD83" s="95">
        <f t="shared" si="11"/>
        <v>1146.04</v>
      </c>
      <c r="AE83" s="95">
        <f>AE44+AE48+AE66+AE62+AE78+AE82</f>
        <v>1172.8399999999999</v>
      </c>
      <c r="AF83" s="95">
        <f>AF44+AF48+AF66+AF62+AF78+AF82</f>
        <v>1099.44</v>
      </c>
      <c r="AG83" s="61">
        <f t="shared" si="11"/>
        <v>2004.1900000000003</v>
      </c>
      <c r="AH83" s="47">
        <f>MAX(B83:AF83)</f>
        <v>1405.3400000000001</v>
      </c>
      <c r="AI83" s="48">
        <f>MIN(B83:AF83)</f>
        <v>998.04000000000008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150</v>
      </c>
      <c r="M84" s="97">
        <v>150</v>
      </c>
      <c r="N84" s="97">
        <v>150</v>
      </c>
      <c r="O84" s="97">
        <v>150</v>
      </c>
      <c r="P84" s="97"/>
      <c r="Q84" s="97"/>
      <c r="R84" s="97"/>
      <c r="S84" s="97"/>
      <c r="T84" s="97"/>
      <c r="U84" s="97"/>
      <c r="V84" s="97"/>
      <c r="W84" s="97">
        <v>160</v>
      </c>
      <c r="X84" s="97">
        <v>160</v>
      </c>
      <c r="Y84" s="97">
        <v>160</v>
      </c>
      <c r="Z84" s="97">
        <v>160</v>
      </c>
      <c r="AA84" s="97">
        <v>160</v>
      </c>
      <c r="AB84" s="97">
        <v>150</v>
      </c>
      <c r="AC84" s="97">
        <v>140</v>
      </c>
      <c r="AD84" s="97">
        <v>100</v>
      </c>
      <c r="AE84" s="97"/>
      <c r="AF84" s="97"/>
      <c r="AG84" s="88"/>
      <c r="AH84" s="47">
        <f t="shared" si="8"/>
        <v>160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1042.04</v>
      </c>
      <c r="C85" s="95">
        <f t="shared" ref="C85:AD85" si="12">C83+C84</f>
        <v>1048.04</v>
      </c>
      <c r="D85" s="95">
        <f t="shared" si="12"/>
        <v>1034.6400000000001</v>
      </c>
      <c r="E85" s="95">
        <f t="shared" si="12"/>
        <v>998.04000000000008</v>
      </c>
      <c r="F85" s="95">
        <f t="shared" si="12"/>
        <v>1029.04</v>
      </c>
      <c r="G85" s="95">
        <f t="shared" si="12"/>
        <v>1065.3400000000001</v>
      </c>
      <c r="H85" s="95">
        <f t="shared" si="12"/>
        <v>1083.2400000000002</v>
      </c>
      <c r="I85" s="95">
        <f t="shared" si="12"/>
        <v>1181.3400000000001</v>
      </c>
      <c r="J85" s="95">
        <f t="shared" si="12"/>
        <v>1239.74</v>
      </c>
      <c r="K85" s="95">
        <f t="shared" si="12"/>
        <v>1375.74</v>
      </c>
      <c r="L85" s="95">
        <f t="shared" si="12"/>
        <v>1434.3400000000001</v>
      </c>
      <c r="M85" s="95">
        <f t="shared" si="12"/>
        <v>1496.1399999999999</v>
      </c>
      <c r="N85" s="95">
        <f t="shared" si="12"/>
        <v>1444.6399999999999</v>
      </c>
      <c r="O85" s="95">
        <f t="shared" si="12"/>
        <v>1351.24</v>
      </c>
      <c r="P85" s="95">
        <f t="shared" si="12"/>
        <v>1313.84</v>
      </c>
      <c r="Q85" s="95">
        <f t="shared" si="12"/>
        <v>1358.24</v>
      </c>
      <c r="R85" s="95">
        <f t="shared" si="12"/>
        <v>1296.9399999999998</v>
      </c>
      <c r="S85" s="95">
        <f t="shared" si="12"/>
        <v>1308.6400000000001</v>
      </c>
      <c r="T85" s="95">
        <f t="shared" si="12"/>
        <v>1350.54</v>
      </c>
      <c r="U85" s="95">
        <f t="shared" si="12"/>
        <v>1326.2399999999998</v>
      </c>
      <c r="V85" s="95">
        <f t="shared" si="12"/>
        <v>1237.6399999999999</v>
      </c>
      <c r="W85" s="95">
        <f t="shared" si="12"/>
        <v>1363.84</v>
      </c>
      <c r="X85" s="95">
        <f t="shared" si="12"/>
        <v>1480.6399999999999</v>
      </c>
      <c r="Y85" s="95">
        <f t="shared" si="12"/>
        <v>1565.3400000000001</v>
      </c>
      <c r="Z85" s="95">
        <f t="shared" si="12"/>
        <v>1514.8400000000001</v>
      </c>
      <c r="AA85" s="95">
        <f t="shared" si="12"/>
        <v>1497.04</v>
      </c>
      <c r="AB85" s="95">
        <f t="shared" si="12"/>
        <v>1389.04</v>
      </c>
      <c r="AC85" s="95">
        <f t="shared" si="12"/>
        <v>1338.4399999999998</v>
      </c>
      <c r="AD85" s="95">
        <f t="shared" si="12"/>
        <v>1246.04</v>
      </c>
      <c r="AE85" s="95">
        <f>AE83+AE84</f>
        <v>1172.8399999999999</v>
      </c>
      <c r="AF85" s="95">
        <f>AF83+AF84</f>
        <v>1099.44</v>
      </c>
      <c r="AG85" s="88">
        <f>AG82+AG78+AG66+AG62+AG44+AG84</f>
        <v>1466.0900000000001</v>
      </c>
      <c r="AH85" s="47">
        <f t="shared" si="8"/>
        <v>1565.3400000000001</v>
      </c>
      <c r="AI85" s="48">
        <f t="shared" si="9"/>
        <v>998.04000000000008</v>
      </c>
    </row>
    <row r="86" spans="1:37" ht="15.75" thickBot="1" x14ac:dyDescent="0.3">
      <c r="A86" s="74" t="s">
        <v>97</v>
      </c>
      <c r="B86" s="95">
        <f t="shared" ref="B86:AD86" si="13">B85-B93</f>
        <v>1042.04</v>
      </c>
      <c r="C86" s="95">
        <f t="shared" si="13"/>
        <v>1048.04</v>
      </c>
      <c r="D86" s="95">
        <f t="shared" si="13"/>
        <v>1034.6400000000001</v>
      </c>
      <c r="E86" s="95">
        <f t="shared" si="13"/>
        <v>998.04000000000008</v>
      </c>
      <c r="F86" s="95">
        <f t="shared" si="13"/>
        <v>1029.04</v>
      </c>
      <c r="G86" s="95">
        <f t="shared" si="13"/>
        <v>1065.3400000000001</v>
      </c>
      <c r="H86" s="95">
        <f t="shared" si="13"/>
        <v>1083.2400000000002</v>
      </c>
      <c r="I86" s="95">
        <f t="shared" si="13"/>
        <v>1181.3400000000001</v>
      </c>
      <c r="J86" s="95">
        <f t="shared" si="13"/>
        <v>1239.74</v>
      </c>
      <c r="K86" s="95">
        <f t="shared" si="13"/>
        <v>1375.74</v>
      </c>
      <c r="L86" s="95">
        <f t="shared" si="13"/>
        <v>1434.3400000000001</v>
      </c>
      <c r="M86" s="95">
        <f t="shared" si="13"/>
        <v>1496.1399999999999</v>
      </c>
      <c r="N86" s="95">
        <f t="shared" si="13"/>
        <v>1444.6399999999999</v>
      </c>
      <c r="O86" s="95">
        <f t="shared" si="13"/>
        <v>1351.24</v>
      </c>
      <c r="P86" s="95">
        <f t="shared" si="13"/>
        <v>1313.84</v>
      </c>
      <c r="Q86" s="95">
        <f t="shared" si="13"/>
        <v>1358.24</v>
      </c>
      <c r="R86" s="95">
        <f t="shared" si="13"/>
        <v>1296.9399999999998</v>
      </c>
      <c r="S86" s="95">
        <f t="shared" si="13"/>
        <v>1308.6400000000001</v>
      </c>
      <c r="T86" s="95">
        <f t="shared" si="13"/>
        <v>1350.54</v>
      </c>
      <c r="U86" s="95">
        <f t="shared" si="13"/>
        <v>1326.2399999999998</v>
      </c>
      <c r="V86" s="95">
        <f t="shared" si="13"/>
        <v>1237.6399999999999</v>
      </c>
      <c r="W86" s="95">
        <f t="shared" si="13"/>
        <v>1363.84</v>
      </c>
      <c r="X86" s="95">
        <f t="shared" si="13"/>
        <v>1480.6399999999999</v>
      </c>
      <c r="Y86" s="95">
        <f t="shared" si="13"/>
        <v>1565.3400000000001</v>
      </c>
      <c r="Z86" s="95">
        <f t="shared" si="13"/>
        <v>1514.8400000000001</v>
      </c>
      <c r="AA86" s="95">
        <f t="shared" si="13"/>
        <v>1497.04</v>
      </c>
      <c r="AB86" s="95">
        <f t="shared" si="13"/>
        <v>1389.04</v>
      </c>
      <c r="AC86" s="95">
        <f t="shared" si="13"/>
        <v>1338.4399999999998</v>
      </c>
      <c r="AD86" s="95">
        <f t="shared" si="13"/>
        <v>1246.04</v>
      </c>
      <c r="AE86" s="95">
        <f>AE85-AE93</f>
        <v>1172.8399999999999</v>
      </c>
      <c r="AF86" s="95">
        <f>AF85-AF93</f>
        <v>1099.44</v>
      </c>
      <c r="AG86" s="88"/>
      <c r="AH86" s="47">
        <f t="shared" si="8"/>
        <v>1565.3400000000001</v>
      </c>
      <c r="AI86" s="48">
        <f t="shared" si="9"/>
        <v>998.04000000000008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D94" si="14">B78-B93</f>
        <v>490</v>
      </c>
      <c r="C94" s="60">
        <f t="shared" si="14"/>
        <v>503</v>
      </c>
      <c r="D94" s="60">
        <f t="shared" si="14"/>
        <v>496</v>
      </c>
      <c r="E94" s="60">
        <f t="shared" si="14"/>
        <v>501</v>
      </c>
      <c r="F94" s="60">
        <f t="shared" si="14"/>
        <v>516</v>
      </c>
      <c r="G94" s="60">
        <f t="shared" si="14"/>
        <v>545.29999999999995</v>
      </c>
      <c r="H94" s="60">
        <f t="shared" si="14"/>
        <v>504.20000000000005</v>
      </c>
      <c r="I94" s="60">
        <f t="shared" si="14"/>
        <v>518.6</v>
      </c>
      <c r="J94" s="60">
        <f t="shared" si="14"/>
        <v>445.6</v>
      </c>
      <c r="K94" s="60">
        <f t="shared" si="14"/>
        <v>373.4</v>
      </c>
      <c r="L94" s="60">
        <f t="shared" si="14"/>
        <v>351.6</v>
      </c>
      <c r="M94" s="60">
        <f t="shared" si="14"/>
        <v>365.6</v>
      </c>
      <c r="N94" s="60">
        <f t="shared" si="14"/>
        <v>500</v>
      </c>
      <c r="O94" s="60">
        <f t="shared" si="14"/>
        <v>543.6</v>
      </c>
      <c r="P94" s="60">
        <f t="shared" si="14"/>
        <v>517.5</v>
      </c>
      <c r="Q94" s="60">
        <f t="shared" si="14"/>
        <v>517</v>
      </c>
      <c r="R94" s="60">
        <f t="shared" si="14"/>
        <v>521.29999999999995</v>
      </c>
      <c r="S94" s="60">
        <f t="shared" si="14"/>
        <v>531.20000000000005</v>
      </c>
      <c r="T94" s="60">
        <f t="shared" si="14"/>
        <v>531.79999999999995</v>
      </c>
      <c r="U94" s="60">
        <f t="shared" si="14"/>
        <v>503.4</v>
      </c>
      <c r="V94" s="60">
        <f t="shared" si="14"/>
        <v>480.29999999999995</v>
      </c>
      <c r="W94" s="60">
        <f t="shared" si="14"/>
        <v>477.5</v>
      </c>
      <c r="X94" s="60">
        <f t="shared" si="14"/>
        <v>439.9</v>
      </c>
      <c r="Y94" s="60">
        <f t="shared" si="14"/>
        <v>425.6</v>
      </c>
      <c r="Z94" s="60">
        <f t="shared" si="14"/>
        <v>243.60000000000002</v>
      </c>
      <c r="AA94" s="60">
        <f t="shared" si="14"/>
        <v>319.5</v>
      </c>
      <c r="AB94" s="60">
        <f t="shared" si="14"/>
        <v>438.59999999999997</v>
      </c>
      <c r="AC94" s="60">
        <f t="shared" si="14"/>
        <v>497.09999999999997</v>
      </c>
      <c r="AD94" s="60">
        <f t="shared" si="14"/>
        <v>473.1</v>
      </c>
      <c r="AE94" s="60">
        <f>AE78-AE93</f>
        <v>492.40000000000003</v>
      </c>
      <c r="AF94" s="60">
        <f>AF78-AF93</f>
        <v>490</v>
      </c>
      <c r="AG94" s="88"/>
      <c r="AH94" s="47">
        <f t="shared" si="8"/>
        <v>545.29999999999995</v>
      </c>
      <c r="AI94" s="48">
        <f t="shared" si="9"/>
        <v>243.60000000000002</v>
      </c>
    </row>
    <row r="95" spans="1:37" x14ac:dyDescent="0.25">
      <c r="A95" s="100" t="s">
        <v>103</v>
      </c>
      <c r="B95" s="101">
        <v>49.9</v>
      </c>
      <c r="C95" s="101">
        <v>50.04</v>
      </c>
      <c r="D95" s="101">
        <v>49.95</v>
      </c>
      <c r="E95" s="101">
        <v>49.95</v>
      </c>
      <c r="F95" s="101">
        <v>49.87</v>
      </c>
      <c r="G95" s="101">
        <v>49.95</v>
      </c>
      <c r="H95" s="101">
        <v>49.96</v>
      </c>
      <c r="I95" s="101">
        <v>49.91</v>
      </c>
      <c r="J95" s="101">
        <v>50.03</v>
      </c>
      <c r="K95" s="101">
        <v>49.95</v>
      </c>
      <c r="L95" s="101">
        <v>50</v>
      </c>
      <c r="M95" s="101">
        <v>49.960999999999999</v>
      </c>
      <c r="N95" s="101">
        <v>50.037999999999997</v>
      </c>
      <c r="O95" s="101">
        <v>49.994999999999997</v>
      </c>
      <c r="P95" s="101">
        <v>49.994999999999997</v>
      </c>
      <c r="Q95" s="101">
        <v>49.975999999999999</v>
      </c>
      <c r="R95" s="101">
        <v>49.911999999999999</v>
      </c>
      <c r="S95" s="101">
        <v>50.052</v>
      </c>
      <c r="T95" s="101">
        <v>49.948999999999998</v>
      </c>
      <c r="U95" s="101">
        <v>49.976999999999997</v>
      </c>
      <c r="V95" s="101">
        <v>49.808999999999997</v>
      </c>
      <c r="W95" s="101">
        <v>50.027000000000001</v>
      </c>
      <c r="X95" s="101">
        <v>49.994</v>
      </c>
      <c r="Y95" s="101">
        <v>49.77</v>
      </c>
      <c r="Z95" s="101">
        <v>49.92</v>
      </c>
      <c r="AA95" s="101">
        <v>49.914000000000001</v>
      </c>
      <c r="AB95" s="101">
        <v>50.127000000000002</v>
      </c>
      <c r="AC95" s="101">
        <v>49.889000000000003</v>
      </c>
      <c r="AD95" s="101">
        <v>50.005000000000003</v>
      </c>
      <c r="AE95" s="101">
        <v>50.03</v>
      </c>
      <c r="AF95" s="101">
        <v>50</v>
      </c>
      <c r="AG95" s="102"/>
      <c r="AH95" s="47">
        <f t="shared" si="8"/>
        <v>50.127000000000002</v>
      </c>
      <c r="AI95" s="48">
        <f t="shared" si="9"/>
        <v>49.77</v>
      </c>
    </row>
    <row r="96" spans="1:37" x14ac:dyDescent="0.25">
      <c r="A96" s="103" t="s">
        <v>104</v>
      </c>
      <c r="B96" s="65">
        <v>128.30000000000001</v>
      </c>
      <c r="C96" s="65">
        <v>127</v>
      </c>
      <c r="D96" s="65">
        <v>127</v>
      </c>
      <c r="E96" s="65">
        <v>127</v>
      </c>
      <c r="F96" s="65">
        <v>125.9</v>
      </c>
      <c r="G96" s="65">
        <v>127</v>
      </c>
      <c r="H96" s="65">
        <v>127.2</v>
      </c>
      <c r="I96" s="65">
        <v>126</v>
      </c>
      <c r="J96" s="65">
        <v>125.9</v>
      </c>
      <c r="K96" s="65">
        <v>127.6</v>
      </c>
      <c r="L96" s="65">
        <v>125.5</v>
      </c>
      <c r="M96" s="65">
        <v>124.7</v>
      </c>
      <c r="N96" s="65">
        <v>126</v>
      </c>
      <c r="O96" s="65">
        <v>127.1</v>
      </c>
      <c r="P96" s="65">
        <v>127.1</v>
      </c>
      <c r="Q96" s="65">
        <v>126.6</v>
      </c>
      <c r="R96" s="65">
        <v>126.2</v>
      </c>
      <c r="S96" s="65">
        <v>126.6</v>
      </c>
      <c r="T96" s="65">
        <v>124.7</v>
      </c>
      <c r="U96" s="65">
        <v>125.9</v>
      </c>
      <c r="V96" s="65">
        <v>129.5</v>
      </c>
      <c r="W96" s="65">
        <v>129.5</v>
      </c>
      <c r="X96" s="65">
        <v>129.5</v>
      </c>
      <c r="Y96" s="65">
        <v>130.5</v>
      </c>
      <c r="Z96" s="65">
        <v>129.69999999999999</v>
      </c>
      <c r="AA96" s="65">
        <v>128.69999999999999</v>
      </c>
      <c r="AB96" s="65">
        <v>130.19999999999999</v>
      </c>
      <c r="AC96" s="65">
        <v>130.30000000000001</v>
      </c>
      <c r="AD96" s="65">
        <v>130.30000000000001</v>
      </c>
      <c r="AE96" s="65">
        <v>127.1</v>
      </c>
      <c r="AF96" s="65">
        <v>128.30000000000001</v>
      </c>
      <c r="AG96" s="104"/>
      <c r="AH96" s="47">
        <f t="shared" si="8"/>
        <v>130.5</v>
      </c>
      <c r="AI96" s="48">
        <f t="shared" si="9"/>
        <v>124.7</v>
      </c>
    </row>
    <row r="97" spans="1:35" x14ac:dyDescent="0.25">
      <c r="A97" s="103" t="s">
        <v>105</v>
      </c>
      <c r="B97" s="65">
        <v>132</v>
      </c>
      <c r="C97" s="65">
        <v>132</v>
      </c>
      <c r="D97" s="65">
        <v>132</v>
      </c>
      <c r="E97" s="65">
        <v>132</v>
      </c>
      <c r="F97" s="65">
        <v>130.19999999999999</v>
      </c>
      <c r="G97" s="65">
        <v>132</v>
      </c>
      <c r="H97" s="65">
        <v>130.80000000000001</v>
      </c>
      <c r="I97" s="65">
        <v>129.4</v>
      </c>
      <c r="J97" s="65">
        <v>129</v>
      </c>
      <c r="K97" s="65">
        <v>128.80000000000001</v>
      </c>
      <c r="L97" s="65">
        <v>126</v>
      </c>
      <c r="M97" s="65">
        <v>125.8</v>
      </c>
      <c r="N97" s="65">
        <v>128.30000000000001</v>
      </c>
      <c r="O97" s="65">
        <v>129.30000000000001</v>
      </c>
      <c r="P97" s="65">
        <v>129.30000000000001</v>
      </c>
      <c r="Q97" s="65">
        <v>129.5</v>
      </c>
      <c r="R97" s="65">
        <v>129.19999999999999</v>
      </c>
      <c r="S97" s="65">
        <v>129.6</v>
      </c>
      <c r="T97" s="65">
        <v>128.19999999999999</v>
      </c>
      <c r="U97" s="65">
        <v>129</v>
      </c>
      <c r="V97" s="65">
        <v>131.5</v>
      </c>
      <c r="W97" s="65">
        <v>131.1</v>
      </c>
      <c r="X97" s="65">
        <v>130.80000000000001</v>
      </c>
      <c r="Y97" s="65">
        <v>131.4</v>
      </c>
      <c r="Z97" s="65">
        <v>131</v>
      </c>
      <c r="AA97" s="65">
        <v>130.5</v>
      </c>
      <c r="AB97" s="65">
        <v>132</v>
      </c>
      <c r="AC97" s="65">
        <v>132.4</v>
      </c>
      <c r="AD97" s="65">
        <v>132.4</v>
      </c>
      <c r="AE97" s="65">
        <v>130.5</v>
      </c>
      <c r="AF97" s="65">
        <v>131.80000000000001</v>
      </c>
      <c r="AG97" s="104"/>
      <c r="AH97" s="47">
        <f t="shared" si="8"/>
        <v>132.4</v>
      </c>
      <c r="AI97" s="48">
        <f t="shared" si="9"/>
        <v>125.8</v>
      </c>
    </row>
    <row r="98" spans="1:35" x14ac:dyDescent="0.25">
      <c r="A98" s="103" t="s">
        <v>106</v>
      </c>
      <c r="B98" s="65">
        <v>130</v>
      </c>
      <c r="C98" s="65">
        <v>130</v>
      </c>
      <c r="D98" s="65">
        <v>130</v>
      </c>
      <c r="E98" s="65">
        <v>130</v>
      </c>
      <c r="F98" s="65">
        <v>131</v>
      </c>
      <c r="G98" s="65">
        <v>130</v>
      </c>
      <c r="H98" s="65">
        <v>130.9</v>
      </c>
      <c r="I98" s="65">
        <v>129.30000000000001</v>
      </c>
      <c r="J98" s="65">
        <v>129.6</v>
      </c>
      <c r="K98" s="65">
        <v>130</v>
      </c>
      <c r="L98" s="65">
        <v>126.7</v>
      </c>
      <c r="M98" s="65">
        <v>126.8</v>
      </c>
      <c r="N98" s="65">
        <v>131.1</v>
      </c>
      <c r="O98" s="65">
        <v>129.5</v>
      </c>
      <c r="P98" s="65">
        <v>129.5</v>
      </c>
      <c r="Q98" s="65">
        <v>130.9</v>
      </c>
      <c r="R98" s="65">
        <v>129.4</v>
      </c>
      <c r="S98" s="65">
        <v>129.30000000000001</v>
      </c>
      <c r="T98" s="65">
        <v>128.5</v>
      </c>
      <c r="U98" s="65">
        <v>129.4</v>
      </c>
      <c r="V98" s="65">
        <v>131.4</v>
      </c>
      <c r="W98" s="65">
        <v>128</v>
      </c>
      <c r="X98" s="65">
        <v>129.4</v>
      </c>
      <c r="Y98" s="65">
        <v>128.5</v>
      </c>
      <c r="Z98" s="65">
        <v>132.1</v>
      </c>
      <c r="AA98" s="65">
        <v>131</v>
      </c>
      <c r="AB98" s="65">
        <v>131.4</v>
      </c>
      <c r="AC98" s="65">
        <v>132</v>
      </c>
      <c r="AD98" s="65">
        <v>132</v>
      </c>
      <c r="AE98" s="65">
        <v>131.80000000000001</v>
      </c>
      <c r="AF98" s="65">
        <v>132.1</v>
      </c>
      <c r="AG98" s="104"/>
      <c r="AH98" s="47">
        <f t="shared" si="8"/>
        <v>132.1</v>
      </c>
      <c r="AI98" s="48">
        <f t="shared" si="9"/>
        <v>126.7</v>
      </c>
    </row>
    <row r="99" spans="1:35" x14ac:dyDescent="0.25">
      <c r="A99" s="105" t="s">
        <v>107</v>
      </c>
      <c r="B99" s="65">
        <v>132</v>
      </c>
      <c r="C99" s="65">
        <v>132</v>
      </c>
      <c r="D99" s="65">
        <v>132</v>
      </c>
      <c r="E99" s="65">
        <v>132</v>
      </c>
      <c r="F99" s="65">
        <v>132.6</v>
      </c>
      <c r="G99" s="65">
        <v>132</v>
      </c>
      <c r="H99" s="65">
        <v>130.69999999999999</v>
      </c>
      <c r="I99" s="65">
        <v>130.19999999999999</v>
      </c>
      <c r="J99" s="65">
        <v>129.69999999999999</v>
      </c>
      <c r="K99" s="65">
        <v>130.30000000000001</v>
      </c>
      <c r="L99" s="65">
        <v>128.69999999999999</v>
      </c>
      <c r="M99" s="65">
        <v>128.80000000000001</v>
      </c>
      <c r="N99" s="65">
        <v>131.9</v>
      </c>
      <c r="O99" s="65">
        <v>130.80000000000001</v>
      </c>
      <c r="P99" s="65">
        <v>130.80000000000001</v>
      </c>
      <c r="Q99" s="65">
        <v>132.6</v>
      </c>
      <c r="R99" s="65">
        <v>131.6</v>
      </c>
      <c r="S99" s="65">
        <v>130.9</v>
      </c>
      <c r="T99" s="65">
        <v>131.5</v>
      </c>
      <c r="U99" s="65">
        <v>132.5</v>
      </c>
      <c r="V99" s="65">
        <v>133.80000000000001</v>
      </c>
      <c r="W99" s="65">
        <v>130.80000000000001</v>
      </c>
      <c r="X99" s="65">
        <v>131.5</v>
      </c>
      <c r="Y99" s="65">
        <v>131.5</v>
      </c>
      <c r="Z99" s="65">
        <v>133.1</v>
      </c>
      <c r="AA99" s="65">
        <v>133</v>
      </c>
      <c r="AB99" s="65">
        <v>134.30000000000001</v>
      </c>
      <c r="AC99" s="65">
        <v>135</v>
      </c>
      <c r="AD99" s="65">
        <v>135</v>
      </c>
      <c r="AE99" s="65">
        <v>133.19999999999999</v>
      </c>
      <c r="AF99" s="65">
        <v>133.30000000000001</v>
      </c>
      <c r="AG99" s="104"/>
      <c r="AH99" s="47">
        <f t="shared" si="8"/>
        <v>135</v>
      </c>
      <c r="AI99" s="48">
        <f t="shared" si="9"/>
        <v>128.69999999999999</v>
      </c>
    </row>
    <row r="100" spans="1:35" x14ac:dyDescent="0.25">
      <c r="A100" s="105" t="s">
        <v>108</v>
      </c>
      <c r="B100" s="106">
        <v>132</v>
      </c>
      <c r="C100" s="106">
        <v>132</v>
      </c>
      <c r="D100" s="106">
        <v>132</v>
      </c>
      <c r="E100" s="106">
        <v>132</v>
      </c>
      <c r="F100" s="106">
        <v>129.4</v>
      </c>
      <c r="G100" s="106">
        <v>132</v>
      </c>
      <c r="H100" s="106">
        <v>132.1</v>
      </c>
      <c r="I100" s="106">
        <v>132.1</v>
      </c>
      <c r="J100" s="106">
        <v>134.80000000000001</v>
      </c>
      <c r="K100" s="106">
        <v>135.19999999999999</v>
      </c>
      <c r="L100" s="106">
        <v>133.4</v>
      </c>
      <c r="M100" s="106">
        <v>132.5</v>
      </c>
      <c r="N100" s="106">
        <v>130.30000000000001</v>
      </c>
      <c r="O100" s="106">
        <v>132.1</v>
      </c>
      <c r="P100" s="106">
        <v>132.1</v>
      </c>
      <c r="Q100" s="106">
        <v>135.9</v>
      </c>
      <c r="R100" s="106">
        <v>135.19999999999999</v>
      </c>
      <c r="S100" s="106">
        <v>132.30000000000001</v>
      </c>
      <c r="T100" s="106">
        <v>131</v>
      </c>
      <c r="U100" s="106">
        <v>129.1</v>
      </c>
      <c r="V100" s="106">
        <v>136.80000000000001</v>
      </c>
      <c r="W100" s="106">
        <v>135.4</v>
      </c>
      <c r="X100" s="106">
        <v>136</v>
      </c>
      <c r="Y100" s="106">
        <v>136.19999999999999</v>
      </c>
      <c r="Z100" s="106">
        <v>134.80000000000001</v>
      </c>
      <c r="AA100" s="106">
        <v>136</v>
      </c>
      <c r="AB100" s="106">
        <v>134.1</v>
      </c>
      <c r="AC100" s="106">
        <v>134.30000000000001</v>
      </c>
      <c r="AD100" s="106">
        <v>134.30000000000001</v>
      </c>
      <c r="AE100" s="106">
        <v>131.4</v>
      </c>
      <c r="AF100" s="106">
        <v>132</v>
      </c>
      <c r="AG100" s="107"/>
      <c r="AH100" s="47">
        <f t="shared" si="8"/>
        <v>136.80000000000001</v>
      </c>
      <c r="AI100" s="48">
        <f t="shared" si="9"/>
        <v>129.1</v>
      </c>
    </row>
    <row r="101" spans="1:35" x14ac:dyDescent="0.25">
      <c r="A101" s="103" t="s">
        <v>109</v>
      </c>
      <c r="B101" s="65">
        <v>133</v>
      </c>
      <c r="C101" s="65">
        <v>133</v>
      </c>
      <c r="D101" s="65">
        <v>133</v>
      </c>
      <c r="E101" s="65">
        <v>133</v>
      </c>
      <c r="F101" s="65">
        <v>131.69999999999999</v>
      </c>
      <c r="G101" s="65">
        <v>133</v>
      </c>
      <c r="H101" s="65">
        <v>133.30000000000001</v>
      </c>
      <c r="I101" s="65">
        <v>130.1</v>
      </c>
      <c r="J101" s="65">
        <v>129.6</v>
      </c>
      <c r="K101" s="65">
        <v>135.80000000000001</v>
      </c>
      <c r="L101" s="65">
        <v>126.7</v>
      </c>
      <c r="M101" s="65">
        <v>130.9</v>
      </c>
      <c r="N101" s="65">
        <v>128.4</v>
      </c>
      <c r="O101" s="65">
        <v>128.80000000000001</v>
      </c>
      <c r="P101" s="65">
        <v>128.80000000000001</v>
      </c>
      <c r="Q101" s="65">
        <v>125.2</v>
      </c>
      <c r="R101" s="65">
        <v>124</v>
      </c>
      <c r="S101" s="65">
        <v>125.5</v>
      </c>
      <c r="T101" s="65">
        <v>124</v>
      </c>
      <c r="U101" s="65">
        <v>133.1</v>
      </c>
      <c r="V101" s="65">
        <v>127.5</v>
      </c>
      <c r="W101" s="65">
        <v>132.30000000000001</v>
      </c>
      <c r="X101" s="65">
        <v>133.1</v>
      </c>
      <c r="Y101" s="65">
        <v>131.69999999999999</v>
      </c>
      <c r="Z101" s="65">
        <v>136.1</v>
      </c>
      <c r="AA101" s="65">
        <v>135</v>
      </c>
      <c r="AB101" s="65">
        <v>128.80000000000001</v>
      </c>
      <c r="AC101" s="65">
        <v>124.1</v>
      </c>
      <c r="AD101" s="65">
        <v>124.1</v>
      </c>
      <c r="AE101" s="65">
        <v>132.19999999999999</v>
      </c>
      <c r="AF101" s="65">
        <v>136.19999999999999</v>
      </c>
      <c r="AG101" s="104"/>
      <c r="AH101" s="47">
        <f t="shared" si="8"/>
        <v>136.19999999999999</v>
      </c>
      <c r="AI101" s="48">
        <f t="shared" si="9"/>
        <v>124</v>
      </c>
    </row>
    <row r="102" spans="1:35" ht="15.75" thickBot="1" x14ac:dyDescent="0.3">
      <c r="A102" s="103" t="s">
        <v>110</v>
      </c>
      <c r="B102" s="92">
        <v>66.5</v>
      </c>
      <c r="C102" s="92">
        <v>66.5</v>
      </c>
      <c r="D102" s="92">
        <v>66.5</v>
      </c>
      <c r="E102" s="92">
        <v>66.5</v>
      </c>
      <c r="F102" s="92">
        <v>65.5</v>
      </c>
      <c r="G102" s="92">
        <v>66.5</v>
      </c>
      <c r="H102" s="92">
        <v>65.7</v>
      </c>
      <c r="I102" s="92">
        <v>65.2</v>
      </c>
      <c r="J102" s="92">
        <v>64.900000000000006</v>
      </c>
      <c r="K102" s="92">
        <v>64.599999999999994</v>
      </c>
      <c r="L102" s="92">
        <v>63.5</v>
      </c>
      <c r="M102" s="92">
        <v>62.9</v>
      </c>
      <c r="N102" s="92">
        <v>64.400000000000006</v>
      </c>
      <c r="O102" s="92">
        <v>64.8</v>
      </c>
      <c r="P102" s="92">
        <v>64.8</v>
      </c>
      <c r="Q102" s="92">
        <v>64.900000000000006</v>
      </c>
      <c r="R102" s="92">
        <v>64.8</v>
      </c>
      <c r="S102" s="92">
        <v>65</v>
      </c>
      <c r="T102" s="92">
        <v>64.400000000000006</v>
      </c>
      <c r="U102" s="92">
        <v>64.5</v>
      </c>
      <c r="V102" s="92">
        <v>65.900000000000006</v>
      </c>
      <c r="W102" s="92">
        <v>66</v>
      </c>
      <c r="X102" s="92">
        <v>65.5</v>
      </c>
      <c r="Y102" s="92">
        <v>66</v>
      </c>
      <c r="Z102" s="92">
        <v>65.400000000000006</v>
      </c>
      <c r="AA102" s="92">
        <v>65.3</v>
      </c>
      <c r="AB102" s="92">
        <v>66.2</v>
      </c>
      <c r="AC102" s="92">
        <v>66.5</v>
      </c>
      <c r="AD102" s="92">
        <v>66.5</v>
      </c>
      <c r="AE102" s="92">
        <v>65.900000000000006</v>
      </c>
      <c r="AF102" s="92">
        <v>66</v>
      </c>
      <c r="AG102" s="108"/>
      <c r="AH102" s="47">
        <f t="shared" si="8"/>
        <v>66.5</v>
      </c>
      <c r="AI102" s="48">
        <f t="shared" si="9"/>
        <v>62.9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143.19999999999999</v>
      </c>
      <c r="C104" s="111">
        <f t="shared" si="15"/>
        <v>136.63999999999999</v>
      </c>
      <c r="D104" s="111">
        <f t="shared" si="15"/>
        <v>124.64</v>
      </c>
      <c r="E104" s="111">
        <f t="shared" si="15"/>
        <v>124.64</v>
      </c>
      <c r="F104" s="111">
        <f t="shared" si="15"/>
        <v>130.54</v>
      </c>
      <c r="G104" s="111">
        <f t="shared" si="15"/>
        <v>157.63999999999999</v>
      </c>
      <c r="H104" s="111">
        <f t="shared" si="15"/>
        <v>170.73999999999998</v>
      </c>
      <c r="I104" s="111">
        <f t="shared" si="15"/>
        <v>211.64</v>
      </c>
      <c r="J104" s="111">
        <f t="shared" si="15"/>
        <v>257.83999999999997</v>
      </c>
      <c r="K104" s="111">
        <f t="shared" si="15"/>
        <v>341.04</v>
      </c>
      <c r="L104" s="111">
        <f t="shared" si="15"/>
        <v>373.44</v>
      </c>
      <c r="M104" s="111">
        <f t="shared" si="15"/>
        <v>361.84</v>
      </c>
      <c r="N104" s="111">
        <f t="shared" si="15"/>
        <v>341.64000000000004</v>
      </c>
      <c r="O104" s="111">
        <f t="shared" si="15"/>
        <v>334.14</v>
      </c>
      <c r="P104" s="111">
        <v>42</v>
      </c>
      <c r="Q104" s="111">
        <f t="shared" si="15"/>
        <v>274</v>
      </c>
      <c r="R104" s="111">
        <f t="shared" si="15"/>
        <v>272.10000000000002</v>
      </c>
      <c r="S104" s="111">
        <f t="shared" si="15"/>
        <v>278.29999999999995</v>
      </c>
      <c r="T104" s="111">
        <f t="shared" si="15"/>
        <v>278.89999999999998</v>
      </c>
      <c r="U104" s="111">
        <f t="shared" si="15"/>
        <v>282.2</v>
      </c>
      <c r="V104" s="111">
        <f t="shared" si="15"/>
        <v>310.2</v>
      </c>
      <c r="W104" s="111">
        <f t="shared" si="15"/>
        <v>310.7</v>
      </c>
      <c r="X104" s="111">
        <f t="shared" si="15"/>
        <v>363.1</v>
      </c>
      <c r="Y104" s="111">
        <f t="shared" si="15"/>
        <v>401.5</v>
      </c>
      <c r="Z104" s="111">
        <f t="shared" si="15"/>
        <v>399.29999999999995</v>
      </c>
      <c r="AA104" s="111">
        <f t="shared" si="15"/>
        <v>378.8</v>
      </c>
      <c r="AB104" s="111">
        <f t="shared" si="15"/>
        <v>334.09999999999997</v>
      </c>
      <c r="AC104" s="111">
        <f t="shared" si="15"/>
        <v>312.70000000000005</v>
      </c>
      <c r="AD104" s="111">
        <f t="shared" si="15"/>
        <v>302.8</v>
      </c>
      <c r="AE104" s="111">
        <f t="shared" si="15"/>
        <v>231.39999999999998</v>
      </c>
      <c r="AF104" s="111">
        <f t="shared" si="15"/>
        <v>166.60000000000002</v>
      </c>
      <c r="AG104" s="112"/>
      <c r="AH104" s="47">
        <f t="shared" si="8"/>
        <v>401.5</v>
      </c>
      <c r="AI104" s="48">
        <f t="shared" si="9"/>
        <v>42</v>
      </c>
    </row>
    <row r="105" spans="1:35" x14ac:dyDescent="0.25">
      <c r="A105" s="100" t="s">
        <v>113</v>
      </c>
      <c r="B105" s="113">
        <v>-8</v>
      </c>
      <c r="C105" s="113">
        <v>-7</v>
      </c>
      <c r="D105" s="113">
        <v>-7</v>
      </c>
      <c r="E105" s="113">
        <v>-7</v>
      </c>
      <c r="F105" s="113">
        <v>-12.4</v>
      </c>
      <c r="G105" s="113">
        <v>-7</v>
      </c>
      <c r="H105" s="113">
        <v>-10.3</v>
      </c>
      <c r="I105" s="113">
        <v>-7</v>
      </c>
      <c r="J105" s="113">
        <v>16.600000000000001</v>
      </c>
      <c r="K105" s="113">
        <v>22.6</v>
      </c>
      <c r="L105" s="113">
        <v>34.200000000000003</v>
      </c>
      <c r="M105" s="113">
        <v>31</v>
      </c>
      <c r="N105" s="113">
        <v>20.3</v>
      </c>
      <c r="O105" s="113">
        <v>13.6</v>
      </c>
      <c r="P105" s="113">
        <v>17</v>
      </c>
      <c r="Q105" s="113">
        <v>11</v>
      </c>
      <c r="R105" s="113">
        <v>12.7</v>
      </c>
      <c r="S105" s="113">
        <v>13.3</v>
      </c>
      <c r="T105" s="113">
        <v>7.2</v>
      </c>
      <c r="U105" s="113">
        <v>6.9</v>
      </c>
      <c r="V105" s="113">
        <v>9.1999999999999993</v>
      </c>
      <c r="W105" s="113">
        <v>11</v>
      </c>
      <c r="X105" s="113">
        <v>20.399999999999999</v>
      </c>
      <c r="Y105" s="113">
        <v>34</v>
      </c>
      <c r="Z105" s="113">
        <v>32.4</v>
      </c>
      <c r="AA105" s="113">
        <v>21</v>
      </c>
      <c r="AB105" s="113">
        <v>20.399999999999999</v>
      </c>
      <c r="AC105" s="113">
        <v>7.8</v>
      </c>
      <c r="AD105" s="113">
        <v>8.5</v>
      </c>
      <c r="AE105" s="113">
        <v>4.5</v>
      </c>
      <c r="AF105" s="113">
        <v>-9.8000000000000007</v>
      </c>
      <c r="AG105" s="114">
        <v>75</v>
      </c>
      <c r="AH105" s="47">
        <f t="shared" si="8"/>
        <v>34.200000000000003</v>
      </c>
      <c r="AI105" s="48">
        <f t="shared" si="9"/>
        <v>-12.4</v>
      </c>
    </row>
    <row r="106" spans="1:35" x14ac:dyDescent="0.25">
      <c r="A106" s="103" t="s">
        <v>114</v>
      </c>
      <c r="B106" s="115">
        <v>-10</v>
      </c>
      <c r="C106" s="115">
        <v>-7.5</v>
      </c>
      <c r="D106" s="115">
        <v>-7.5</v>
      </c>
      <c r="E106" s="115">
        <v>-7.5</v>
      </c>
      <c r="F106" s="115">
        <v>-19.5</v>
      </c>
      <c r="G106" s="115">
        <v>-7.5</v>
      </c>
      <c r="H106" s="115">
        <v>-17.7</v>
      </c>
      <c r="I106" s="115">
        <v>-13</v>
      </c>
      <c r="J106" s="115">
        <v>21.5</v>
      </c>
      <c r="K106" s="115">
        <v>24.9</v>
      </c>
      <c r="L106" s="115">
        <v>42.5</v>
      </c>
      <c r="M106" s="115">
        <v>37</v>
      </c>
      <c r="N106" s="115">
        <v>23.3</v>
      </c>
      <c r="O106" s="115">
        <v>13.2</v>
      </c>
      <c r="P106" s="115">
        <v>21.1</v>
      </c>
      <c r="Q106" s="115">
        <v>9</v>
      </c>
      <c r="R106" s="115">
        <v>10.5</v>
      </c>
      <c r="S106" s="115">
        <v>17</v>
      </c>
      <c r="T106" s="115">
        <v>8.3000000000000007</v>
      </c>
      <c r="U106" s="115">
        <v>7.4</v>
      </c>
      <c r="V106" s="115">
        <v>6.4</v>
      </c>
      <c r="W106" s="115">
        <v>9.3000000000000007</v>
      </c>
      <c r="X106" s="115">
        <v>21.3</v>
      </c>
      <c r="Y106" s="115">
        <v>40</v>
      </c>
      <c r="Z106" s="115">
        <v>38.700000000000003</v>
      </c>
      <c r="AA106" s="115">
        <v>19</v>
      </c>
      <c r="AB106" s="115">
        <v>20.2</v>
      </c>
      <c r="AC106" s="115">
        <v>2.2000000000000002</v>
      </c>
      <c r="AD106" s="115">
        <v>5.7</v>
      </c>
      <c r="AE106" s="115">
        <v>2.7</v>
      </c>
      <c r="AF106" s="115">
        <v>-13.8</v>
      </c>
      <c r="AG106" s="114">
        <v>240</v>
      </c>
      <c r="AH106" s="47">
        <f t="shared" si="8"/>
        <v>42.5</v>
      </c>
      <c r="AI106" s="48">
        <f t="shared" si="9"/>
        <v>-19.5</v>
      </c>
    </row>
    <row r="107" spans="1:35" x14ac:dyDescent="0.25">
      <c r="A107" s="103" t="s">
        <v>115</v>
      </c>
      <c r="B107" s="115">
        <v>-25</v>
      </c>
      <c r="C107" s="115">
        <v>-39</v>
      </c>
      <c r="D107" s="115">
        <v>-38</v>
      </c>
      <c r="E107" s="115">
        <v>-38</v>
      </c>
      <c r="F107" s="115">
        <f>-13.6-14.4</f>
        <v>-28</v>
      </c>
      <c r="G107" s="115">
        <v>-38</v>
      </c>
      <c r="H107" s="115">
        <f>-19.5-4.5</f>
        <v>-24</v>
      </c>
      <c r="I107" s="115">
        <f>-10.4+3.9</f>
        <v>-6.5</v>
      </c>
      <c r="J107" s="115">
        <f>-8.5-0</f>
        <v>-8.5</v>
      </c>
      <c r="K107" s="115">
        <f>25.9+27.4</f>
        <v>53.3</v>
      </c>
      <c r="L107" s="115">
        <f>26+27.5</f>
        <v>53.5</v>
      </c>
      <c r="M107" s="115">
        <f>25.2+27.4</f>
        <v>52.599999999999994</v>
      </c>
      <c r="N107" s="115">
        <v>68.8</v>
      </c>
      <c r="O107" s="115">
        <v>68.5</v>
      </c>
      <c r="P107" s="115">
        <v>4.5</v>
      </c>
      <c r="Q107" s="115">
        <f>7.6</f>
        <v>7.6</v>
      </c>
      <c r="R107" s="115">
        <f>7</f>
        <v>7</v>
      </c>
      <c r="S107" s="115">
        <v>4</v>
      </c>
      <c r="T107" s="115">
        <v>5</v>
      </c>
      <c r="U107" s="115">
        <v>15</v>
      </c>
      <c r="V107" s="115">
        <v>40</v>
      </c>
      <c r="W107" s="115">
        <v>43</v>
      </c>
      <c r="X107" s="115">
        <v>57</v>
      </c>
      <c r="Y107" s="115">
        <v>65</v>
      </c>
      <c r="Z107" s="115">
        <v>70</v>
      </c>
      <c r="AA107" s="115">
        <v>95</v>
      </c>
      <c r="AB107" s="115">
        <v>62.7</v>
      </c>
      <c r="AC107" s="115">
        <v>58</v>
      </c>
      <c r="AD107" s="115">
        <v>45</v>
      </c>
      <c r="AE107" s="115">
        <v>2</v>
      </c>
      <c r="AF107" s="115">
        <f>-8.8-9.7</f>
        <v>-18.5</v>
      </c>
      <c r="AG107" s="114">
        <v>240</v>
      </c>
      <c r="AH107" s="47">
        <f t="shared" si="8"/>
        <v>95</v>
      </c>
      <c r="AI107" s="48">
        <f t="shared" si="9"/>
        <v>-39</v>
      </c>
    </row>
    <row r="108" spans="1:35" x14ac:dyDescent="0.25">
      <c r="A108" s="103" t="s">
        <v>116</v>
      </c>
      <c r="B108" s="115">
        <v>-1</v>
      </c>
      <c r="C108" s="115">
        <v>-3</v>
      </c>
      <c r="D108" s="115">
        <v>-4</v>
      </c>
      <c r="E108" s="115">
        <v>-4</v>
      </c>
      <c r="F108" s="115">
        <v>-2.7</v>
      </c>
      <c r="G108" s="115">
        <v>-4</v>
      </c>
      <c r="H108" s="115">
        <v>17.399999999999999</v>
      </c>
      <c r="I108" s="115">
        <v>20.399999999999999</v>
      </c>
      <c r="J108" s="115">
        <v>10.5</v>
      </c>
      <c r="K108" s="115">
        <v>21.5</v>
      </c>
      <c r="L108" s="115">
        <v>22.1</v>
      </c>
      <c r="M108" s="115">
        <v>22.4</v>
      </c>
      <c r="N108" s="115">
        <v>24.2</v>
      </c>
      <c r="O108" s="115">
        <v>23.5</v>
      </c>
      <c r="P108" s="115">
        <v>40.200000000000003</v>
      </c>
      <c r="Q108" s="115">
        <v>43</v>
      </c>
      <c r="R108" s="115">
        <v>43.5</v>
      </c>
      <c r="S108" s="115">
        <v>43</v>
      </c>
      <c r="T108" s="115">
        <v>42</v>
      </c>
      <c r="U108" s="115">
        <v>40.5</v>
      </c>
      <c r="V108" s="115">
        <v>45.2</v>
      </c>
      <c r="W108" s="115">
        <v>37</v>
      </c>
      <c r="X108" s="115">
        <v>56</v>
      </c>
      <c r="Y108" s="115">
        <v>56</v>
      </c>
      <c r="Z108" s="115">
        <v>55.4</v>
      </c>
      <c r="AA108" s="115">
        <v>52</v>
      </c>
      <c r="AB108" s="115">
        <v>49</v>
      </c>
      <c r="AC108" s="115">
        <v>35.4</v>
      </c>
      <c r="AD108" s="115">
        <v>26.3</v>
      </c>
      <c r="AE108" s="115">
        <v>16.600000000000001</v>
      </c>
      <c r="AF108" s="115">
        <v>3.7</v>
      </c>
      <c r="AG108" s="114">
        <v>60</v>
      </c>
      <c r="AH108" s="47">
        <f t="shared" si="8"/>
        <v>56</v>
      </c>
      <c r="AI108" s="48">
        <f t="shared" si="9"/>
        <v>-4</v>
      </c>
    </row>
    <row r="109" spans="1:35" x14ac:dyDescent="0.25">
      <c r="A109" s="116" t="s">
        <v>117</v>
      </c>
      <c r="B109" s="117">
        <v>85</v>
      </c>
      <c r="C109" s="117">
        <v>90</v>
      </c>
      <c r="D109" s="117">
        <v>78</v>
      </c>
      <c r="E109" s="117">
        <v>78</v>
      </c>
      <c r="F109" s="117">
        <v>90</v>
      </c>
      <c r="G109" s="117">
        <v>111</v>
      </c>
      <c r="H109" s="117">
        <v>104.5</v>
      </c>
      <c r="I109" s="117">
        <v>116.9</v>
      </c>
      <c r="J109" s="117">
        <v>116.9</v>
      </c>
      <c r="K109" s="117">
        <v>117.9</v>
      </c>
      <c r="L109" s="117">
        <v>120.3</v>
      </c>
      <c r="M109" s="117">
        <v>120</v>
      </c>
      <c r="N109" s="117">
        <v>105.9</v>
      </c>
      <c r="O109" s="117">
        <v>115.7</v>
      </c>
      <c r="P109" s="117">
        <v>110</v>
      </c>
      <c r="Q109" s="117">
        <v>100.5</v>
      </c>
      <c r="R109" s="117">
        <v>97</v>
      </c>
      <c r="S109" s="117">
        <v>91.6</v>
      </c>
      <c r="T109" s="117">
        <v>107</v>
      </c>
      <c r="U109" s="117">
        <v>103</v>
      </c>
      <c r="V109" s="117">
        <v>100</v>
      </c>
      <c r="W109" s="117">
        <v>109</v>
      </c>
      <c r="X109" s="117">
        <v>107</v>
      </c>
      <c r="Y109" s="117">
        <v>106</v>
      </c>
      <c r="Z109" s="117">
        <v>104</v>
      </c>
      <c r="AA109" s="117">
        <v>93</v>
      </c>
      <c r="AB109" s="117">
        <v>83</v>
      </c>
      <c r="AC109" s="117">
        <v>110.5</v>
      </c>
      <c r="AD109" s="117">
        <v>118.5</v>
      </c>
      <c r="AE109" s="117">
        <v>105.2</v>
      </c>
      <c r="AF109" s="117">
        <v>101.8</v>
      </c>
      <c r="AG109" s="118">
        <v>120</v>
      </c>
      <c r="AH109" s="47">
        <f t="shared" si="8"/>
        <v>120.3</v>
      </c>
      <c r="AI109" s="48">
        <f t="shared" si="9"/>
        <v>78</v>
      </c>
    </row>
    <row r="110" spans="1:35" x14ac:dyDescent="0.25">
      <c r="A110" s="116" t="s">
        <v>118</v>
      </c>
      <c r="B110" s="117">
        <v>87</v>
      </c>
      <c r="C110" s="117">
        <v>95</v>
      </c>
      <c r="D110" s="117">
        <v>87</v>
      </c>
      <c r="E110" s="117">
        <v>87</v>
      </c>
      <c r="F110" s="117">
        <v>101</v>
      </c>
      <c r="G110" s="117">
        <v>114</v>
      </c>
      <c r="H110" s="117">
        <v>102.5</v>
      </c>
      <c r="I110" s="117">
        <v>108</v>
      </c>
      <c r="J110" s="117">
        <v>102.5</v>
      </c>
      <c r="K110" s="117">
        <v>78.599999999999994</v>
      </c>
      <c r="L110" s="117">
        <v>7575.2</v>
      </c>
      <c r="M110" s="117">
        <v>77.900000000000006</v>
      </c>
      <c r="N110" s="117">
        <v>91.8</v>
      </c>
      <c r="O110" s="117">
        <v>95.6</v>
      </c>
      <c r="P110" s="117">
        <v>104</v>
      </c>
      <c r="Q110" s="117">
        <v>96.6</v>
      </c>
      <c r="R110" s="117">
        <v>95</v>
      </c>
      <c r="S110" s="117">
        <v>89.1</v>
      </c>
      <c r="T110" s="117">
        <v>103</v>
      </c>
      <c r="U110" s="117">
        <v>92</v>
      </c>
      <c r="V110" s="117">
        <v>84</v>
      </c>
      <c r="W110" s="117">
        <v>87</v>
      </c>
      <c r="X110" s="117">
        <v>75</v>
      </c>
      <c r="Y110" s="117">
        <v>55</v>
      </c>
      <c r="Z110" s="117">
        <v>66</v>
      </c>
      <c r="AA110" s="117">
        <v>98</v>
      </c>
      <c r="AB110" s="117">
        <v>86.6</v>
      </c>
      <c r="AC110" s="117">
        <v>89.5</v>
      </c>
      <c r="AD110" s="117">
        <v>76.599999999999994</v>
      </c>
      <c r="AE110" s="117">
        <v>99.5</v>
      </c>
      <c r="AF110" s="117">
        <v>98.7</v>
      </c>
      <c r="AG110" s="118"/>
      <c r="AH110" s="47">
        <f t="shared" si="8"/>
        <v>7575.2</v>
      </c>
      <c r="AI110" s="48">
        <f t="shared" si="9"/>
        <v>55</v>
      </c>
    </row>
    <row r="111" spans="1:35" x14ac:dyDescent="0.25">
      <c r="A111" s="116" t="s">
        <v>119</v>
      </c>
      <c r="B111" s="117">
        <v>43</v>
      </c>
      <c r="C111" s="117">
        <v>43</v>
      </c>
      <c r="D111" s="117">
        <v>44</v>
      </c>
      <c r="E111" s="117">
        <v>44</v>
      </c>
      <c r="F111" s="117">
        <v>-42.9</v>
      </c>
      <c r="G111" s="117">
        <v>44</v>
      </c>
      <c r="H111" s="117">
        <v>41.5</v>
      </c>
      <c r="I111" s="117">
        <v>41</v>
      </c>
      <c r="J111" s="117">
        <v>24.1</v>
      </c>
      <c r="K111" s="117">
        <v>14</v>
      </c>
      <c r="L111" s="117">
        <v>4.0999999999999996</v>
      </c>
      <c r="M111" s="117">
        <v>7.8</v>
      </c>
      <c r="N111" s="117">
        <v>21.3</v>
      </c>
      <c r="O111" s="117">
        <v>20</v>
      </c>
      <c r="P111" s="117">
        <v>32.799999999999997</v>
      </c>
      <c r="Q111" s="117">
        <v>31.3</v>
      </c>
      <c r="R111" s="117">
        <v>29.9</v>
      </c>
      <c r="S111" s="117">
        <v>29</v>
      </c>
      <c r="T111" s="117">
        <v>35.1</v>
      </c>
      <c r="U111" s="117">
        <v>34</v>
      </c>
      <c r="V111" s="117">
        <v>29</v>
      </c>
      <c r="W111" s="117">
        <v>20</v>
      </c>
      <c r="X111" s="117">
        <v>14.5</v>
      </c>
      <c r="Y111" s="117">
        <v>11</v>
      </c>
      <c r="Z111" s="117">
        <v>18</v>
      </c>
      <c r="AA111" s="117">
        <v>27</v>
      </c>
      <c r="AB111" s="117">
        <v>21.1</v>
      </c>
      <c r="AC111" s="117">
        <v>23.5</v>
      </c>
      <c r="AD111" s="117">
        <v>22.6</v>
      </c>
      <c r="AE111" s="117">
        <v>30</v>
      </c>
      <c r="AF111" s="117">
        <v>52.4</v>
      </c>
      <c r="AG111" s="119"/>
      <c r="AH111" s="47">
        <f t="shared" si="8"/>
        <v>52.4</v>
      </c>
      <c r="AI111" s="48">
        <f t="shared" si="9"/>
        <v>-42.9</v>
      </c>
    </row>
    <row r="112" spans="1:35" x14ac:dyDescent="0.25">
      <c r="A112" s="120" t="s">
        <v>120</v>
      </c>
      <c r="B112" s="106">
        <v>11</v>
      </c>
      <c r="C112" s="106">
        <v>11.5</v>
      </c>
      <c r="D112" s="106">
        <v>14</v>
      </c>
      <c r="E112" s="106">
        <v>14</v>
      </c>
      <c r="F112" s="106">
        <v>-13.4</v>
      </c>
      <c r="G112" s="106">
        <v>14</v>
      </c>
      <c r="H112" s="106">
        <v>-2.2000000000000002</v>
      </c>
      <c r="I112" s="106">
        <v>-15</v>
      </c>
      <c r="J112" s="106">
        <v>-29</v>
      </c>
      <c r="K112" s="106">
        <v>-45.5</v>
      </c>
      <c r="L112" s="106">
        <v>-55</v>
      </c>
      <c r="M112" s="106">
        <v>-52.4</v>
      </c>
      <c r="N112" s="106">
        <v>-41.8</v>
      </c>
      <c r="O112" s="106">
        <v>-31</v>
      </c>
      <c r="P112" s="106">
        <v>-21.6</v>
      </c>
      <c r="Q112" s="106">
        <v>-19</v>
      </c>
      <c r="R112" s="106">
        <v>-17.100000000000001</v>
      </c>
      <c r="S112" s="106">
        <v>-20</v>
      </c>
      <c r="T112" s="106">
        <v>-26</v>
      </c>
      <c r="U112" s="106">
        <v>-24</v>
      </c>
      <c r="V112" s="106">
        <v>-39</v>
      </c>
      <c r="W112" s="106">
        <v>-52</v>
      </c>
      <c r="X112" s="106">
        <v>-75</v>
      </c>
      <c r="Y112" s="106">
        <v>-71</v>
      </c>
      <c r="Z112" s="106">
        <v>-59</v>
      </c>
      <c r="AA112" s="106">
        <v>-42</v>
      </c>
      <c r="AB112" s="106">
        <v>-34.299999999999997</v>
      </c>
      <c r="AC112" s="106">
        <v>-28.5</v>
      </c>
      <c r="AD112" s="106">
        <v>-16.7</v>
      </c>
      <c r="AE112" s="106">
        <v>3.8</v>
      </c>
      <c r="AF112" s="106">
        <v>6.7</v>
      </c>
      <c r="AG112" s="119"/>
      <c r="AH112" s="47">
        <f t="shared" si="8"/>
        <v>14</v>
      </c>
      <c r="AI112" s="48">
        <f t="shared" si="9"/>
        <v>-75</v>
      </c>
    </row>
    <row r="113" spans="1:37" ht="15.75" thickBot="1" x14ac:dyDescent="0.3">
      <c r="A113" s="120" t="s">
        <v>121</v>
      </c>
      <c r="B113" s="106">
        <v>64</v>
      </c>
      <c r="C113" s="106">
        <v>60</v>
      </c>
      <c r="D113" s="106">
        <v>62</v>
      </c>
      <c r="E113" s="106">
        <v>62</v>
      </c>
      <c r="F113" s="106">
        <v>59.6</v>
      </c>
      <c r="G113" s="106">
        <v>62</v>
      </c>
      <c r="H113" s="106">
        <v>61.4</v>
      </c>
      <c r="I113" s="106">
        <v>70.2</v>
      </c>
      <c r="J113" s="106">
        <v>75</v>
      </c>
      <c r="K113" s="106">
        <v>78.2</v>
      </c>
      <c r="L113" s="106">
        <v>85.3</v>
      </c>
      <c r="M113" s="106">
        <v>85.8</v>
      </c>
      <c r="N113" s="106">
        <v>82.3</v>
      </c>
      <c r="O113" s="106">
        <v>73</v>
      </c>
      <c r="P113" s="106">
        <v>88.1</v>
      </c>
      <c r="Q113" s="106">
        <v>64.3</v>
      </c>
      <c r="R113" s="106">
        <v>65.599999999999994</v>
      </c>
      <c r="S113" s="106">
        <v>71</v>
      </c>
      <c r="T113" s="106">
        <v>73</v>
      </c>
      <c r="U113" s="106">
        <v>73</v>
      </c>
      <c r="V113" s="106">
        <v>73</v>
      </c>
      <c r="W113" s="106">
        <v>77</v>
      </c>
      <c r="X113" s="106">
        <v>92</v>
      </c>
      <c r="Y113" s="106">
        <v>92</v>
      </c>
      <c r="Z113" s="106">
        <v>82</v>
      </c>
      <c r="AA113" s="106">
        <v>79</v>
      </c>
      <c r="AB113" s="106">
        <v>70</v>
      </c>
      <c r="AC113" s="106">
        <v>64.099999999999994</v>
      </c>
      <c r="AD113" s="106">
        <v>58.9</v>
      </c>
      <c r="AE113" s="106">
        <v>65.599999999999994</v>
      </c>
      <c r="AF113" s="106">
        <v>61.5</v>
      </c>
      <c r="AG113" s="119"/>
      <c r="AH113" s="47">
        <f t="shared" si="8"/>
        <v>92</v>
      </c>
      <c r="AI113" s="48">
        <f t="shared" si="9"/>
        <v>58.9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1496.1399999999999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2079/11/2)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1042.04</v>
      </c>
      <c r="U242" s="170">
        <f t="shared" si="20"/>
        <v>1048.04</v>
      </c>
      <c r="V242" s="170">
        <f t="shared" si="20"/>
        <v>1034.6400000000001</v>
      </c>
      <c r="W242" s="170">
        <f t="shared" si="20"/>
        <v>998.04000000000008</v>
      </c>
      <c r="X242" s="170">
        <f t="shared" si="20"/>
        <v>1029.04</v>
      </c>
      <c r="Y242" s="170">
        <f t="shared" si="20"/>
        <v>1065.3400000000001</v>
      </c>
      <c r="Z242" s="170">
        <f t="shared" si="20"/>
        <v>1083.2400000000002</v>
      </c>
      <c r="AA242" s="170">
        <f t="shared" si="20"/>
        <v>1181.3400000000001</v>
      </c>
      <c r="AB242" s="170">
        <f t="shared" si="20"/>
        <v>1239.74</v>
      </c>
      <c r="AC242" s="170">
        <f t="shared" si="20"/>
        <v>1375.74</v>
      </c>
      <c r="AD242" s="170">
        <f t="shared" si="20"/>
        <v>1434.3400000000001</v>
      </c>
      <c r="AE242" s="170">
        <f t="shared" si="20"/>
        <v>1496.1399999999999</v>
      </c>
      <c r="AF242" s="170">
        <f t="shared" si="20"/>
        <v>1444.6399999999999</v>
      </c>
      <c r="AG242" s="170">
        <f t="shared" si="20"/>
        <v>1351.24</v>
      </c>
      <c r="AH242" s="170">
        <f t="shared" si="20"/>
        <v>1313.84</v>
      </c>
      <c r="AI242" s="170">
        <f t="shared" si="20"/>
        <v>1358.24</v>
      </c>
      <c r="AJ242" s="170">
        <f t="shared" si="20"/>
        <v>1296.9399999999998</v>
      </c>
      <c r="AK242" s="170">
        <f t="shared" si="20"/>
        <v>1308.6400000000001</v>
      </c>
      <c r="AL242" s="170">
        <f t="shared" si="20"/>
        <v>1350.54</v>
      </c>
      <c r="AM242" s="170">
        <f t="shared" si="20"/>
        <v>1326.2399999999998</v>
      </c>
      <c r="AN242" s="170">
        <f t="shared" si="20"/>
        <v>1237.6399999999999</v>
      </c>
      <c r="AO242" s="170">
        <f t="shared" si="20"/>
        <v>1363.84</v>
      </c>
      <c r="AP242" s="170">
        <f t="shared" si="20"/>
        <v>1480.6399999999999</v>
      </c>
      <c r="AQ242" s="170">
        <f t="shared" si="20"/>
        <v>1565.3400000000001</v>
      </c>
      <c r="AR242" s="170">
        <f t="shared" si="20"/>
        <v>1514.8400000000001</v>
      </c>
      <c r="AS242" s="170">
        <f t="shared" si="20"/>
        <v>1497.04</v>
      </c>
      <c r="AT242" s="170">
        <f t="shared" si="20"/>
        <v>1389.04</v>
      </c>
      <c r="AU242" s="170">
        <f t="shared" si="20"/>
        <v>1338.4399999999998</v>
      </c>
      <c r="AV242" s="170">
        <f t="shared" si="20"/>
        <v>1246.04</v>
      </c>
      <c r="AW242" s="170">
        <f t="shared" si="20"/>
        <v>1172.8399999999999</v>
      </c>
      <c r="AX242" s="170">
        <f t="shared" si="20"/>
        <v>1099.44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992" priority="1">
      <formula>$AH11=0</formula>
    </cfRule>
  </conditionalFormatting>
  <conditionalFormatting sqref="B8 M8 S8 AB8">
    <cfRule type="expression" dxfId="991" priority="242">
      <formula>AND(C$9&gt;=8/24,C$9&lt;14/24)</formula>
    </cfRule>
    <cfRule type="expression" dxfId="990" priority="243">
      <formula>C$9&lt;8/24</formula>
    </cfRule>
    <cfRule type="expression" dxfId="989" priority="241">
      <formula>AND(C$9&gt;=14/24,C$9&lt;20/24)</formula>
    </cfRule>
  </conditionalFormatting>
  <conditionalFormatting sqref="B49:L51">
    <cfRule type="expression" dxfId="984" priority="94">
      <formula>AND(B$9&gt;=8/24,B$9&lt;14/24)</formula>
    </cfRule>
    <cfRule type="expression" dxfId="983" priority="93">
      <formula>AND(B$9&gt;=14/24,B$9&lt;20/24)</formula>
    </cfRule>
    <cfRule type="expression" dxfId="982" priority="92">
      <formula>B$9&gt;=20/24</formula>
    </cfRule>
    <cfRule type="expression" dxfId="981" priority="95">
      <formula>B$9&lt;8/24</formula>
    </cfRule>
  </conditionalFormatting>
  <conditionalFormatting sqref="B54:L54 R54:AF54">
    <cfRule type="expression" dxfId="980" priority="83">
      <formula>AND(B$9&gt;=14/24,B$9&lt;20/24)</formula>
    </cfRule>
    <cfRule type="expression" dxfId="979" priority="82">
      <formula>B$9&gt;=20/24</formula>
    </cfRule>
    <cfRule type="expression" dxfId="978" priority="85">
      <formula>B$9&lt;8/24</formula>
    </cfRule>
    <cfRule type="expression" dxfId="977" priority="84">
      <formula>AND(B$9&gt;=8/24,B$9&lt;14/24)</formula>
    </cfRule>
  </conditionalFormatting>
  <conditionalFormatting sqref="B11:X11">
    <cfRule type="expression" dxfId="976" priority="25">
      <formula>AND(B$9&gt;=8/24,B$9&lt;14/24)</formula>
    </cfRule>
    <cfRule type="expression" dxfId="975" priority="26">
      <formula>B$9&lt;8/24</formula>
    </cfRule>
    <cfRule type="expression" dxfId="974" priority="23">
      <formula>B$9&gt;=20/24</formula>
    </cfRule>
    <cfRule type="expression" dxfId="973" priority="24">
      <formula>AND(B$9&gt;=14/24,B$9&lt;20/24)</formula>
    </cfRule>
  </conditionalFormatting>
  <conditionalFormatting sqref="B12:X14">
    <cfRule type="expression" dxfId="972" priority="21">
      <formula>B$9&lt;8/24</formula>
    </cfRule>
    <cfRule type="expression" dxfId="971" priority="18">
      <formula>B$9&gt;=20/24</formula>
    </cfRule>
    <cfRule type="expression" dxfId="970" priority="19">
      <formula>AND(B$9&gt;=14/24,B$9&lt;20/24)</formula>
    </cfRule>
    <cfRule type="expression" dxfId="969" priority="20">
      <formula>AND(B$9&gt;=8/24,B$9&lt;14/24)</formula>
    </cfRule>
  </conditionalFormatting>
  <conditionalFormatting sqref="B15:X40">
    <cfRule type="expression" dxfId="968" priority="110">
      <formula>AND(B$9&gt;=14/24,B$9&lt;20/24)</formula>
    </cfRule>
    <cfRule type="expression" dxfId="967" priority="112">
      <formula>B$9&lt;8/24</formula>
    </cfRule>
    <cfRule type="expression" dxfId="966" priority="111">
      <formula>AND(B$9&gt;=8/24,B$9&lt;14/24)</formula>
    </cfRule>
    <cfRule type="expression" dxfId="965" priority="109">
      <formula>B$9&gt;=20/24</formula>
    </cfRule>
  </conditionalFormatting>
  <conditionalFormatting sqref="B41:X41">
    <cfRule type="expression" dxfId="964" priority="14">
      <formula>B$9&gt;=20/24</formula>
    </cfRule>
    <cfRule type="expression" dxfId="963" priority="17">
      <formula>B$9&lt;8/24</formula>
    </cfRule>
    <cfRule type="expression" dxfId="962" priority="16">
      <formula>AND(B$9&gt;=8/24,B$9&lt;14/24)</formula>
    </cfRule>
    <cfRule type="expression" dxfId="961" priority="15">
      <formula>AND(B$9&gt;=14/24,B$9&lt;20/24)</formula>
    </cfRule>
  </conditionalFormatting>
  <conditionalFormatting sqref="B42:X42">
    <cfRule type="expression" dxfId="960" priority="74">
      <formula>AND(B$9&gt;=14/24,B$9&lt;20/24)</formula>
    </cfRule>
    <cfRule type="expression" dxfId="959" priority="73">
      <formula>B$9&gt;=20/24</formula>
    </cfRule>
    <cfRule type="expression" dxfId="958" priority="75">
      <formula>AND(B$9&gt;=8/24,B$9&lt;14/24)</formula>
    </cfRule>
    <cfRule type="expression" dxfId="957" priority="76">
      <formula>B$9&lt;8/24</formula>
    </cfRule>
  </conditionalFormatting>
  <conditionalFormatting sqref="B9:AF10 B220:AF220 D222:AF223 B222:B228 D224:H224 J224:AF224 D225:AF228 U241:AF241">
    <cfRule type="expression" dxfId="956" priority="235">
      <formula>AND(B$9&gt;=14/24,B$9&lt;20/24)</formula>
    </cfRule>
    <cfRule type="expression" dxfId="955" priority="234">
      <formula>B$9&gt;=20/24</formula>
    </cfRule>
    <cfRule type="expression" dxfId="954" priority="237">
      <formula>B$9&lt;8/24</formula>
    </cfRule>
    <cfRule type="expression" dxfId="953" priority="236">
      <formula>AND(B$9&gt;=8/24,B$9&lt;14/24)</formula>
    </cfRule>
  </conditionalFormatting>
  <conditionalFormatting sqref="B11:AF66">
    <cfRule type="expression" dxfId="952" priority="22">
      <formula>B11&gt;$AG11</formula>
    </cfRule>
  </conditionalFormatting>
  <conditionalFormatting sqref="B43:AF43">
    <cfRule type="expression" dxfId="951" priority="108">
      <formula>B$9&lt;8/24</formula>
    </cfRule>
    <cfRule type="expression" dxfId="950" priority="107">
      <formula>AND(B$9&gt;=8/24,B$9&lt;14/24)</formula>
    </cfRule>
    <cfRule type="expression" dxfId="949" priority="106">
      <formula>AND(B$9&gt;=14/24,B$9&lt;20/24)</formula>
    </cfRule>
    <cfRule type="expression" dxfId="948" priority="105">
      <formula>B$9&gt;=20/24</formula>
    </cfRule>
  </conditionalFormatting>
  <conditionalFormatting sqref="B45:AF48">
    <cfRule type="expression" dxfId="947" priority="53">
      <formula>B$9&lt;8/24</formula>
    </cfRule>
    <cfRule type="expression" dxfId="946" priority="51">
      <formula>AND(B$9&gt;=14/24,B$9&lt;20/24)</formula>
    </cfRule>
    <cfRule type="expression" dxfId="945" priority="50">
      <formula>B$9&gt;=20/24</formula>
    </cfRule>
    <cfRule type="expression" dxfId="944" priority="52">
      <formula>AND(B$9&gt;=8/24,B$9&lt;14/24)</formula>
    </cfRule>
  </conditionalFormatting>
  <conditionalFormatting sqref="B55:AF60">
    <cfRule type="expression" dxfId="943" priority="29">
      <formula>B$9&gt;=20/24</formula>
    </cfRule>
    <cfRule type="expression" dxfId="942" priority="30">
      <formula>AND(B$9&gt;=14/24,B$9&lt;20/24)</formula>
    </cfRule>
    <cfRule type="expression" dxfId="941" priority="31">
      <formula>AND(B$9&gt;=8/24,B$9&lt;14/24)</formula>
    </cfRule>
    <cfRule type="expression" dxfId="940" priority="32">
      <formula>B$9&lt;8/24</formula>
    </cfRule>
  </conditionalFormatting>
  <conditionalFormatting sqref="B63:AF72">
    <cfRule type="expression" dxfId="939" priority="70">
      <formula>AND(B$9&gt;=8/24,B$9&lt;14/24)</formula>
    </cfRule>
    <cfRule type="expression" dxfId="938" priority="68">
      <formula>B$9&gt;=20/24</formula>
    </cfRule>
    <cfRule type="expression" dxfId="937" priority="69">
      <formula>AND(B$9&gt;=14/24,B$9&lt;20/24)</formula>
    </cfRule>
    <cfRule type="expression" dxfId="936" priority="71">
      <formula>B$9&lt;8/24</formula>
    </cfRule>
  </conditionalFormatting>
  <conditionalFormatting sqref="B73:AF85">
    <cfRule type="expression" dxfId="935" priority="10">
      <formula>B$9&gt;=20/24</formula>
    </cfRule>
    <cfRule type="expression" dxfId="934" priority="11">
      <formula>AND(B$9&gt;=14/24,B$9&lt;20/24)</formula>
    </cfRule>
    <cfRule type="expression" dxfId="933" priority="12">
      <formula>AND(B$9&gt;=8/24,B$9&lt;14/24)</formula>
    </cfRule>
    <cfRule type="expression" dxfId="932" priority="13">
      <formula>B$9&lt;8/24</formula>
    </cfRule>
  </conditionalFormatting>
  <conditionalFormatting sqref="B87:AF103">
    <cfRule type="expression" dxfId="927" priority="48">
      <formula>B$9&lt;8/24</formula>
    </cfRule>
    <cfRule type="expression" dxfId="926" priority="45">
      <formula>B$9&gt;=20/24</formula>
    </cfRule>
    <cfRule type="expression" dxfId="925" priority="46">
      <formula>AND(B$9&gt;=14/24,B$9&lt;20/24)</formula>
    </cfRule>
    <cfRule type="expression" dxfId="924" priority="47">
      <formula>AND(B$9&gt;=8/24,B$9&lt;14/24)</formula>
    </cfRule>
  </conditionalFormatting>
  <conditionalFormatting sqref="B105:AF112">
    <cfRule type="expression" dxfId="923" priority="33">
      <formula>B$9&gt;=20/24</formula>
    </cfRule>
    <cfRule type="expression" dxfId="922" priority="34">
      <formula>AND(B$9&gt;=14/24,B$9&lt;20/24)</formula>
    </cfRule>
    <cfRule type="expression" dxfId="921" priority="35">
      <formula>AND(B$9&gt;=8/24,B$9&lt;14/24)</formula>
    </cfRule>
    <cfRule type="expression" dxfId="920" priority="36">
      <formula>B$9&lt;8/24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915" priority="240">
      <formula>C$9&gt;=20/24</formula>
    </cfRule>
  </conditionalFormatting>
  <conditionalFormatting sqref="S8">
    <cfRule type="expression" dxfId="914" priority="216">
      <formula>U$9&lt;8/24</formula>
    </cfRule>
    <cfRule type="expression" dxfId="913" priority="213">
      <formula>U$9&gt;=20/24</formula>
    </cfRule>
    <cfRule type="expression" dxfId="912" priority="215">
      <formula>AND(U$9&gt;=8/24,U$9&lt;14/24)</formula>
    </cfRule>
    <cfRule type="expression" dxfId="911" priority="214">
      <formula>AND(U$9&gt;=14/24,U$9&lt;20/24)</formula>
    </cfRule>
  </conditionalFormatting>
  <conditionalFormatting sqref="T241">
    <cfRule type="expression" dxfId="910" priority="253">
      <formula>AX$9&gt;=20/24</formula>
    </cfRule>
    <cfRule type="expression" dxfId="909" priority="254">
      <formula>AND(AX$9&gt;=14/24,AX$9&lt;20/24)</formula>
    </cfRule>
    <cfRule type="expression" dxfId="908" priority="256">
      <formula>AX$9&lt;8/24</formula>
    </cfRule>
    <cfRule type="expression" dxfId="907" priority="255">
      <formula>AND(AX$9&gt;=8/24,AX$9&lt;14/24)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49:AB51 R49:W53 X52:AC53">
    <cfRule type="expression" dxfId="906" priority="193">
      <formula>R$9&lt;8/24</formula>
    </cfRule>
    <cfRule type="expression" dxfId="905" priority="192">
      <formula>AND(R$9&gt;=8/24,R$9&lt;14/24)</formula>
    </cfRule>
    <cfRule type="expression" dxfId="904" priority="191">
      <formula>AND(R$9&gt;=14/24,R$9&lt;20/24)</formula>
    </cfRule>
    <cfRule type="expression" dxfId="903" priority="190">
      <formula>R$9&gt;=20/24</formula>
    </cfRule>
  </conditionalFormatting>
  <conditionalFormatting sqref="Y11:AF42">
    <cfRule type="expression" dxfId="902" priority="179">
      <formula>Y$9&lt;8/24</formula>
    </cfRule>
    <cfRule type="expression" dxfId="901" priority="178">
      <formula>AND(Y$9&gt;=8/24,Y$9&lt;14/24)</formula>
    </cfRule>
    <cfRule type="expression" dxfId="900" priority="177">
      <formula>AND(Y$9&gt;=14/24,Y$9&lt;20/24)</formula>
    </cfRule>
    <cfRule type="expression" dxfId="899" priority="176">
      <formula>Y$9&gt;=20/24</formula>
    </cfRule>
  </conditionalFormatting>
  <conditionalFormatting sqref="AB8">
    <cfRule type="expression" dxfId="898" priority="212">
      <formula>AD$9&lt;8/24</formula>
    </cfRule>
    <cfRule type="expression" dxfId="897" priority="209">
      <formula>AD$9&gt;=20/24</formula>
    </cfRule>
    <cfRule type="expression" dxfId="896" priority="210">
      <formula>AND(AD$9&gt;=14/24,AD$9&lt;20/24)</formula>
    </cfRule>
    <cfRule type="expression" dxfId="895" priority="211">
      <formula>AND(AD$9&gt;=8/24,AD$9&lt;14/24)</formula>
    </cfRule>
  </conditionalFormatting>
  <conditionalFormatting sqref="AC50:AC51 AD50:AF53">
    <cfRule type="expression" dxfId="894" priority="207">
      <formula>AC$9&lt;8/24</formula>
    </cfRule>
    <cfRule type="expression" dxfId="893" priority="205">
      <formula>AND(AC$9&gt;=14/24,AC$9&lt;20/24)</formula>
    </cfRule>
    <cfRule type="expression" dxfId="892" priority="206">
      <formula>AND(AC$9&gt;=8/24,AC$9&lt;14/24)</formula>
    </cfRule>
    <cfRule type="expression" dxfId="891" priority="204">
      <formula>AC$9&gt;=20/24</formula>
    </cfRule>
  </conditionalFormatting>
  <conditionalFormatting sqref="AC49:AF49 M49:Q54">
    <cfRule type="expression" dxfId="890" priority="200">
      <formula>M$9&gt;=20/24</formula>
    </cfRule>
    <cfRule type="expression" dxfId="889" priority="203">
      <formula>M$9&lt;8/24</formula>
    </cfRule>
    <cfRule type="expression" dxfId="888" priority="202">
      <formula>AND(M$9&gt;=8/24,M$9&lt;14/24)</formula>
    </cfRule>
    <cfRule type="expression" dxfId="887" priority="201">
      <formula>AND(M$9&gt;=14/24,M$9&lt;20/24)</formula>
    </cfRule>
  </conditionalFormatting>
  <conditionalFormatting sqref="AG44 AG61:AG62 AG66">
    <cfRule type="expression" dxfId="886" priority="166">
      <formula>AG44&gt;$AG44</formula>
    </cfRule>
  </conditionalFormatting>
  <conditionalFormatting sqref="AG48">
    <cfRule type="expression" dxfId="885" priority="150">
      <formula>AG$9&lt;8/24</formula>
    </cfRule>
    <cfRule type="expression" dxfId="884" priority="149">
      <formula>AND(AG$9&gt;=8/24,AG$9&lt;14/24)</formula>
    </cfRule>
    <cfRule type="expression" dxfId="883" priority="147">
      <formula>AG$9&gt;=20/24</formula>
    </cfRule>
    <cfRule type="expression" dxfId="882" priority="146">
      <formula>AG48&gt;$AG48</formula>
    </cfRule>
    <cfRule type="expression" dxfId="881" priority="148">
      <formula>AND(AG$9&gt;=14/24,AG$9&lt;20/24)</formula>
    </cfRule>
  </conditionalFormatting>
  <conditionalFormatting sqref="AG66 AG83">
    <cfRule type="expression" dxfId="880" priority="167">
      <formula>AG$9&gt;=20/24</formula>
    </cfRule>
    <cfRule type="expression" dxfId="879" priority="170">
      <formula>AG$9&lt;8/24</formula>
    </cfRule>
    <cfRule type="expression" dxfId="878" priority="169">
      <formula>AND(AG$9&gt;=8/24,AG$9&lt;14/24)</formula>
    </cfRule>
    <cfRule type="expression" dxfId="877" priority="168">
      <formula>AND(AG$9&gt;=14/24,AG$9&lt;20/24)</formula>
    </cfRule>
  </conditionalFormatting>
  <conditionalFormatting sqref="AG241">
    <cfRule type="expression" dxfId="876" priority="248">
      <formula>B$9&lt;8/24</formula>
    </cfRule>
    <cfRule type="expression" dxfId="875" priority="246">
      <formula>AND(B$9&gt;=14/24,B$9&lt;20/24)</formula>
    </cfRule>
    <cfRule type="expression" dxfId="874" priority="245">
      <formula>B$9&gt;=20/24</formula>
    </cfRule>
    <cfRule type="expression" dxfId="873" priority="247">
      <formula>AND(B$9&gt;=8/24,B$9&lt;14/24)</formula>
    </cfRule>
  </conditionalFormatting>
  <conditionalFormatting sqref="AH241:AX241">
    <cfRule type="expression" dxfId="872" priority="250">
      <formula>AND(AG$9&gt;=14/24,AG$9&lt;20/24)</formula>
    </cfRule>
    <cfRule type="expression" dxfId="871" priority="249">
      <formula>AG$9&gt;=20/24</formula>
    </cfRule>
    <cfRule type="expression" dxfId="870" priority="252">
      <formula>AG$9&lt;8/24</formula>
    </cfRule>
    <cfRule type="expression" dxfId="869" priority="251">
      <formula>AND(AG$9&gt;=8/24,AG$9&lt;14/24)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868" priority="261">
      <formula>AJ$9&lt;8/24</formula>
    </cfRule>
    <cfRule type="expression" dxfId="867" priority="258">
      <formula>AJ$9&gt;=20/24</formula>
    </cfRule>
    <cfRule type="expression" dxfId="866" priority="259">
      <formula>AND(AJ$9&gt;=14/24,AJ$9&lt;20/24)</formula>
    </cfRule>
    <cfRule type="expression" dxfId="865" priority="260">
      <formula>AND(AJ$9&gt;=8/24,AJ$9&lt;14/24)</formula>
    </cfRule>
  </conditionalFormatting>
  <conditionalFormatting sqref="AL74:AN74 AL80:AN80">
    <cfRule type="expression" dxfId="864" priority="9">
      <formula>AL$9&lt;8/24</formula>
    </cfRule>
    <cfRule type="expression" dxfId="863" priority="8">
      <formula>AND(AL$9&gt;=8/24,AL$9&lt;14/24)</formula>
    </cfRule>
    <cfRule type="expression" dxfId="862" priority="7">
      <formula>AND(AL$9&gt;=14/24,AL$9&lt;20/24)</formula>
    </cfRule>
    <cfRule type="expression" dxfId="861" priority="6">
      <formula>AL$9&gt;=20/24</formula>
    </cfRule>
  </conditionalFormatting>
  <conditionalFormatting sqref="AN75:AN78">
    <cfRule type="expression" dxfId="860" priority="5">
      <formula>AN$9&lt;8/24</formula>
    </cfRule>
    <cfRule type="expression" dxfId="859" priority="4">
      <formula>AND(AN$9&gt;=8/24,AN$9&lt;14/24)</formula>
    </cfRule>
    <cfRule type="expression" dxfId="858" priority="3">
      <formula>AND(AN$9&gt;=14/24,AN$9&lt;20/24)</formula>
    </cfRule>
    <cfRule type="expression" dxfId="857" priority="2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713DE5E7-871C-4960-92FF-9DF697E3E97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D906C49B-2518-441E-9D74-82446776AB6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" id="{AE912C25-59FC-4E4C-ACCF-1873B7ECC6A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" id="{347BFBBC-F093-46A7-AA20-9429D17FDAE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1" id="{67F01771-5F93-4922-AFAF-4B4BB374A3B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DBF30E9F-C4F3-49BA-AF35-F3894CAEFBA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51EF2B33-ED24-4E56-81B9-20DA33DD1F2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8E202F00-3136-40BC-9C4F-517C087C941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6" id="{CFF8D12D-B3DA-48C6-8434-DD03DCBE943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060456BC-CBA3-4B9B-BE21-9A792FEA03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4" id="{731C3A11-ADE5-4F46-AC65-8E49A662803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EB5F6C25-9D96-45BB-B15F-C78CAE7FEDD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74"/>
  <sheetViews>
    <sheetView zoomScaleNormal="100" workbookViewId="0">
      <pane ySplit="10" topLeftCell="A45" activePane="bottomLeft" state="frozen"/>
      <selection activeCell="Z85" sqref="Z85"/>
      <selection pane="bottomLeft" activeCell="AF63" sqref="AF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2079/11/3</v>
      </c>
      <c r="C4" s="208"/>
      <c r="D4" s="208"/>
      <c r="E4" s="209" t="str">
        <f ca="1">"2079/"&amp;"11/"&amp;INT(MID(CELL("filename",G6),FIND("]",CELL("filename",G6))+1,200))</f>
        <v>2079/11/3</v>
      </c>
      <c r="F4" s="209"/>
      <c r="G4" s="209"/>
      <c r="H4" s="209" t="str">
        <f ca="1">TEXT(E4,"dddd")</f>
        <v>Friday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486.7</v>
      </c>
      <c r="C5" s="30">
        <f t="shared" si="0"/>
        <v>486.09999999999997</v>
      </c>
      <c r="D5" s="30">
        <f t="shared" si="0"/>
        <v>476.2</v>
      </c>
      <c r="E5" s="30">
        <f t="shared" si="0"/>
        <v>481.1</v>
      </c>
      <c r="F5" s="30">
        <f t="shared" si="0"/>
        <v>495</v>
      </c>
      <c r="G5" s="30">
        <f t="shared" si="0"/>
        <v>504</v>
      </c>
      <c r="H5" s="30">
        <f t="shared" si="0"/>
        <v>511.3</v>
      </c>
      <c r="I5" s="30">
        <f t="shared" si="0"/>
        <v>436.1</v>
      </c>
      <c r="J5" s="30">
        <f t="shared" si="0"/>
        <v>303.60000000000002</v>
      </c>
      <c r="K5" s="30">
        <f t="shared" si="0"/>
        <v>342</v>
      </c>
      <c r="L5" s="30">
        <f t="shared" si="0"/>
        <v>347.2</v>
      </c>
      <c r="M5" s="30">
        <f t="shared" si="0"/>
        <v>439</v>
      </c>
      <c r="N5" s="30">
        <f t="shared" si="0"/>
        <v>449</v>
      </c>
      <c r="O5" s="30">
        <f t="shared" si="0"/>
        <v>520</v>
      </c>
      <c r="P5" s="30">
        <f t="shared" si="0"/>
        <v>474.6</v>
      </c>
      <c r="Q5" s="30">
        <f t="shared" si="0"/>
        <v>500.6</v>
      </c>
      <c r="R5" s="30">
        <f t="shared" si="0"/>
        <v>515.5</v>
      </c>
      <c r="S5" s="30">
        <f t="shared" si="0"/>
        <v>522.6</v>
      </c>
      <c r="T5" s="30">
        <f t="shared" si="0"/>
        <v>518.79999999999995</v>
      </c>
      <c r="U5" s="30">
        <f t="shared" si="0"/>
        <v>531.79999999999995</v>
      </c>
      <c r="V5" s="30">
        <f t="shared" si="0"/>
        <v>516.29999999999995</v>
      </c>
      <c r="W5" s="30">
        <f t="shared" si="0"/>
        <v>515</v>
      </c>
      <c r="X5" s="30">
        <f t="shared" si="0"/>
        <v>329</v>
      </c>
      <c r="Y5" s="30">
        <f t="shared" si="0"/>
        <v>269</v>
      </c>
      <c r="Z5" s="30">
        <f t="shared" si="0"/>
        <v>260</v>
      </c>
      <c r="AA5" s="30">
        <f t="shared" si="0"/>
        <v>359</v>
      </c>
      <c r="AB5" s="30">
        <f t="shared" si="0"/>
        <v>529</v>
      </c>
      <c r="AC5" s="30">
        <f t="shared" si="0"/>
        <v>482.3</v>
      </c>
      <c r="AD5" s="30">
        <f t="shared" si="0"/>
        <v>477.3</v>
      </c>
      <c r="AE5" s="30">
        <f t="shared" si="0"/>
        <v>461</v>
      </c>
      <c r="AF5" s="30">
        <f>B78</f>
        <v>482.09999999999997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1487MW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Load=894</v>
      </c>
      <c r="B7" s="35">
        <f t="shared" ref="B7:AF7" si="1">B85</f>
        <v>1031.3399999999999</v>
      </c>
      <c r="C7" s="35">
        <f t="shared" si="1"/>
        <v>894.33999999999992</v>
      </c>
      <c r="D7" s="35">
        <f t="shared" si="1"/>
        <v>1015.74</v>
      </c>
      <c r="E7" s="35">
        <f t="shared" si="1"/>
        <v>987.94</v>
      </c>
      <c r="F7" s="35">
        <f t="shared" si="1"/>
        <v>970.84</v>
      </c>
      <c r="G7" s="35">
        <f t="shared" si="1"/>
        <v>1015.74</v>
      </c>
      <c r="H7" s="35">
        <f t="shared" si="1"/>
        <v>1087.44</v>
      </c>
      <c r="I7" s="35">
        <f t="shared" si="1"/>
        <v>1160.74</v>
      </c>
      <c r="J7" s="35">
        <f t="shared" si="1"/>
        <v>1117.04</v>
      </c>
      <c r="K7" s="35">
        <f t="shared" si="1"/>
        <v>1307.44</v>
      </c>
      <c r="L7" s="35">
        <f t="shared" si="1"/>
        <v>1472.24</v>
      </c>
      <c r="M7" s="35">
        <f t="shared" si="1"/>
        <v>1487.3400000000001</v>
      </c>
      <c r="N7" s="35">
        <f>N85</f>
        <v>1393.44</v>
      </c>
      <c r="O7" s="35">
        <f t="shared" si="1"/>
        <v>1349.04</v>
      </c>
      <c r="P7" s="35">
        <f t="shared" si="1"/>
        <v>1321.44</v>
      </c>
      <c r="Q7" s="35">
        <f t="shared" si="1"/>
        <v>1231.44</v>
      </c>
      <c r="R7" s="35">
        <f t="shared" si="1"/>
        <v>1293.44</v>
      </c>
      <c r="S7" s="35">
        <f t="shared" si="1"/>
        <v>1293.6399999999999</v>
      </c>
      <c r="T7" s="35">
        <f t="shared" si="1"/>
        <v>1354.6399999999999</v>
      </c>
      <c r="U7" s="35">
        <f t="shared" si="1"/>
        <v>1328.1399999999999</v>
      </c>
      <c r="V7" s="35">
        <f t="shared" si="1"/>
        <v>1341.1399999999999</v>
      </c>
      <c r="W7" s="35">
        <f t="shared" si="1"/>
        <v>1352.54</v>
      </c>
      <c r="X7" s="35">
        <f t="shared" si="1"/>
        <v>1450.54</v>
      </c>
      <c r="Y7" s="35">
        <f t="shared" si="1"/>
        <v>1571.24</v>
      </c>
      <c r="Z7" s="35">
        <f t="shared" si="1"/>
        <v>1509.24</v>
      </c>
      <c r="AA7" s="35">
        <f t="shared" si="1"/>
        <v>1495.84</v>
      </c>
      <c r="AB7" s="35">
        <f t="shared" si="1"/>
        <v>1392.6399999999999</v>
      </c>
      <c r="AC7" s="35">
        <f t="shared" si="1"/>
        <v>1291.2399999999998</v>
      </c>
      <c r="AD7" s="35">
        <f t="shared" si="1"/>
        <v>1176.54</v>
      </c>
      <c r="AE7" s="35">
        <f t="shared" si="1"/>
        <v>1162.8399999999999</v>
      </c>
      <c r="AF7" s="35">
        <f t="shared" si="1"/>
        <v>1037.3399999999999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16.399999999999999</v>
      </c>
      <c r="C11" s="45">
        <v>16.399999999999999</v>
      </c>
      <c r="D11" s="45">
        <v>17</v>
      </c>
      <c r="E11" s="45">
        <v>17</v>
      </c>
      <c r="F11" s="45">
        <v>17</v>
      </c>
      <c r="G11" s="45">
        <v>17</v>
      </c>
      <c r="H11" s="45">
        <v>17</v>
      </c>
      <c r="I11" s="45">
        <v>17</v>
      </c>
      <c r="J11" s="45">
        <v>17</v>
      </c>
      <c r="K11" s="45">
        <v>17</v>
      </c>
      <c r="L11" s="45">
        <v>17</v>
      </c>
      <c r="M11" s="45">
        <v>17</v>
      </c>
      <c r="N11" s="45">
        <v>17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15.3</v>
      </c>
      <c r="Y11" s="45">
        <v>18.399999999999999</v>
      </c>
      <c r="Z11" s="45">
        <v>18.399999999999999</v>
      </c>
      <c r="AA11" s="45">
        <v>14</v>
      </c>
      <c r="AB11" s="45">
        <v>14</v>
      </c>
      <c r="AC11" s="45">
        <v>14</v>
      </c>
      <c r="AD11" s="45">
        <v>14</v>
      </c>
      <c r="AE11" s="45">
        <v>14</v>
      </c>
      <c r="AF11" s="45">
        <v>14</v>
      </c>
      <c r="AG11" s="46">
        <v>52.4</v>
      </c>
      <c r="AH11" s="47">
        <f t="shared" ref="AH11:AH74" si="2">MAX(B11:AF11)</f>
        <v>18.399999999999999</v>
      </c>
      <c r="AI11" s="48">
        <f t="shared" ref="AI11:AI74" si="3">MIN(B11:AF11)</f>
        <v>14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</v>
      </c>
      <c r="C12" s="45">
        <v>31</v>
      </c>
      <c r="D12" s="45">
        <v>31</v>
      </c>
      <c r="E12" s="45">
        <v>31</v>
      </c>
      <c r="F12" s="45">
        <v>31</v>
      </c>
      <c r="G12" s="45">
        <v>31</v>
      </c>
      <c r="H12" s="45">
        <v>31</v>
      </c>
      <c r="I12" s="45">
        <v>31</v>
      </c>
      <c r="J12" s="45">
        <v>31</v>
      </c>
      <c r="K12" s="45">
        <v>31</v>
      </c>
      <c r="L12" s="45">
        <v>31</v>
      </c>
      <c r="M12" s="45">
        <v>31</v>
      </c>
      <c r="N12" s="45">
        <v>31</v>
      </c>
      <c r="O12" s="45">
        <v>31</v>
      </c>
      <c r="P12" s="45">
        <v>31</v>
      </c>
      <c r="Q12" s="45">
        <v>31</v>
      </c>
      <c r="R12" s="45">
        <v>31</v>
      </c>
      <c r="S12" s="45">
        <v>31</v>
      </c>
      <c r="T12" s="45">
        <v>31</v>
      </c>
      <c r="U12" s="45">
        <v>31</v>
      </c>
      <c r="V12" s="45">
        <v>31</v>
      </c>
      <c r="W12" s="45">
        <v>31</v>
      </c>
      <c r="X12" s="45">
        <v>31</v>
      </c>
      <c r="Y12" s="45">
        <v>31.2</v>
      </c>
      <c r="Z12" s="45">
        <v>31.2</v>
      </c>
      <c r="AA12" s="45">
        <v>31.2</v>
      </c>
      <c r="AB12" s="45">
        <v>31.2</v>
      </c>
      <c r="AC12" s="45">
        <v>31.2</v>
      </c>
      <c r="AD12" s="45">
        <v>31.2</v>
      </c>
      <c r="AE12" s="45">
        <v>31.2</v>
      </c>
      <c r="AF12" s="45">
        <v>31.2</v>
      </c>
      <c r="AG12" s="50">
        <v>50</v>
      </c>
      <c r="AH12" s="47">
        <f t="shared" si="2"/>
        <v>31.2</v>
      </c>
      <c r="AI12" s="48">
        <f t="shared" si="3"/>
        <v>31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19.2</v>
      </c>
      <c r="C13" s="45">
        <v>19.2</v>
      </c>
      <c r="D13" s="45">
        <v>18.899999999999999</v>
      </c>
      <c r="E13" s="45">
        <v>18.899999999999999</v>
      </c>
      <c r="F13" s="45">
        <v>18.899999999999999</v>
      </c>
      <c r="G13" s="45">
        <v>18.899999999999999</v>
      </c>
      <c r="H13" s="45">
        <v>18.899999999999999</v>
      </c>
      <c r="I13" s="45">
        <v>18.899999999999999</v>
      </c>
      <c r="J13" s="45">
        <v>18.899999999999999</v>
      </c>
      <c r="K13" s="45">
        <v>18.899999999999999</v>
      </c>
      <c r="L13" s="45">
        <v>18.899999999999999</v>
      </c>
      <c r="M13" s="45">
        <v>18.899999999999999</v>
      </c>
      <c r="N13" s="45">
        <v>18.899999999999999</v>
      </c>
      <c r="O13" s="45">
        <v>18.899999999999999</v>
      </c>
      <c r="P13" s="45">
        <v>18.899999999999999</v>
      </c>
      <c r="Q13" s="45">
        <v>18.899999999999999</v>
      </c>
      <c r="R13" s="45">
        <v>18.899999999999999</v>
      </c>
      <c r="S13" s="45">
        <v>18.899999999999999</v>
      </c>
      <c r="T13" s="45">
        <v>18.899999999999999</v>
      </c>
      <c r="U13" s="45">
        <v>18.899999999999999</v>
      </c>
      <c r="V13" s="45">
        <v>18.899999999999999</v>
      </c>
      <c r="W13" s="45">
        <v>18.899999999999999</v>
      </c>
      <c r="X13" s="45">
        <v>18.899999999999999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50">
        <v>45</v>
      </c>
      <c r="AH13" s="47">
        <f t="shared" si="2"/>
        <v>19.2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8.5</v>
      </c>
      <c r="I14" s="45">
        <v>8.5</v>
      </c>
      <c r="J14" s="45">
        <v>8.5</v>
      </c>
      <c r="K14" s="45">
        <v>8.5</v>
      </c>
      <c r="L14" s="45">
        <v>8.5</v>
      </c>
      <c r="M14" s="45">
        <v>8.5</v>
      </c>
      <c r="N14" s="45">
        <v>8.5</v>
      </c>
      <c r="O14" s="45">
        <v>8.5</v>
      </c>
      <c r="P14" s="45">
        <v>8.5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8.5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8.1999999999999993</v>
      </c>
      <c r="C16" s="45">
        <v>8.1999999999999993</v>
      </c>
      <c r="D16" s="45">
        <v>8.3000000000000007</v>
      </c>
      <c r="E16" s="45">
        <v>8.3000000000000007</v>
      </c>
      <c r="F16" s="45">
        <v>8.3000000000000007</v>
      </c>
      <c r="G16" s="45">
        <v>8.3000000000000007</v>
      </c>
      <c r="H16" s="45">
        <v>8.3000000000000007</v>
      </c>
      <c r="I16" s="45">
        <v>8.3000000000000007</v>
      </c>
      <c r="J16" s="45">
        <v>8.3000000000000007</v>
      </c>
      <c r="K16" s="45">
        <v>8.3000000000000007</v>
      </c>
      <c r="L16" s="45">
        <v>8.3000000000000007</v>
      </c>
      <c r="M16" s="45">
        <v>8.3000000000000007</v>
      </c>
      <c r="N16" s="45">
        <v>8.3000000000000007</v>
      </c>
      <c r="O16" s="45">
        <v>8.3000000000000007</v>
      </c>
      <c r="P16" s="45">
        <v>8.3000000000000007</v>
      </c>
      <c r="Q16" s="45">
        <v>8.3000000000000007</v>
      </c>
      <c r="R16" s="45">
        <v>8.3000000000000007</v>
      </c>
      <c r="S16" s="45">
        <v>8.3000000000000007</v>
      </c>
      <c r="T16" s="45">
        <v>8.3000000000000007</v>
      </c>
      <c r="U16" s="45">
        <v>8.3000000000000007</v>
      </c>
      <c r="V16" s="45">
        <v>8.3000000000000007</v>
      </c>
      <c r="W16" s="45">
        <v>8.3000000000000007</v>
      </c>
      <c r="X16" s="45">
        <v>8.3000000000000007</v>
      </c>
      <c r="Y16" s="45">
        <v>8.1999999999999993</v>
      </c>
      <c r="Z16" s="45">
        <v>8.1999999999999993</v>
      </c>
      <c r="AA16" s="45">
        <v>8.1999999999999993</v>
      </c>
      <c r="AB16" s="45">
        <v>8.1999999999999993</v>
      </c>
      <c r="AC16" s="45">
        <v>8.1999999999999993</v>
      </c>
      <c r="AD16" s="45">
        <v>8.1999999999999993</v>
      </c>
      <c r="AE16" s="45">
        <v>8.1999999999999993</v>
      </c>
      <c r="AF16" s="45">
        <v>8.1999999999999993</v>
      </c>
      <c r="AG16" s="51">
        <v>30</v>
      </c>
      <c r="AH16" s="47">
        <f t="shared" si="2"/>
        <v>8.3000000000000007</v>
      </c>
      <c r="AI16" s="48">
        <f t="shared" si="3"/>
        <v>8.1999999999999993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7.6</v>
      </c>
      <c r="C17" s="45">
        <v>7.6</v>
      </c>
      <c r="D17" s="45">
        <v>7.6</v>
      </c>
      <c r="E17" s="45">
        <v>7.6</v>
      </c>
      <c r="F17" s="45">
        <v>7.6</v>
      </c>
      <c r="G17" s="45">
        <v>7.6</v>
      </c>
      <c r="H17" s="45">
        <v>7.6</v>
      </c>
      <c r="I17" s="45">
        <v>7.6</v>
      </c>
      <c r="J17" s="45">
        <v>7.6</v>
      </c>
      <c r="K17" s="45">
        <v>7.6</v>
      </c>
      <c r="L17" s="45">
        <v>7.6</v>
      </c>
      <c r="M17" s="45">
        <v>7.6</v>
      </c>
      <c r="N17" s="45">
        <v>7.6</v>
      </c>
      <c r="O17" s="45">
        <v>7.6</v>
      </c>
      <c r="P17" s="45">
        <v>7.6</v>
      </c>
      <c r="Q17" s="45">
        <v>7.6</v>
      </c>
      <c r="R17" s="45">
        <v>7.6</v>
      </c>
      <c r="S17" s="45">
        <v>7.6</v>
      </c>
      <c r="T17" s="45">
        <v>7.6</v>
      </c>
      <c r="U17" s="45">
        <v>7.6</v>
      </c>
      <c r="V17" s="45">
        <v>7.6</v>
      </c>
      <c r="W17" s="45">
        <v>7.6</v>
      </c>
      <c r="X17" s="45">
        <v>7.6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7.6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9.1999999999999993</v>
      </c>
      <c r="C20" s="45">
        <v>9.1999999999999993</v>
      </c>
      <c r="D20" s="45">
        <v>9.1999999999999993</v>
      </c>
      <c r="E20" s="45">
        <v>9.1999999999999993</v>
      </c>
      <c r="F20" s="45">
        <v>9.1999999999999993</v>
      </c>
      <c r="G20" s="45">
        <v>9.1999999999999993</v>
      </c>
      <c r="H20" s="45">
        <v>9.1999999999999993</v>
      </c>
      <c r="I20" s="45">
        <v>9.1999999999999993</v>
      </c>
      <c r="J20" s="45">
        <v>9.1999999999999993</v>
      </c>
      <c r="K20" s="45">
        <v>9.1999999999999993</v>
      </c>
      <c r="L20" s="45">
        <v>9.1999999999999993</v>
      </c>
      <c r="M20" s="45">
        <v>9.1999999999999993</v>
      </c>
      <c r="N20" s="45">
        <v>9.1999999999999993</v>
      </c>
      <c r="O20" s="45">
        <v>9.1999999999999993</v>
      </c>
      <c r="P20" s="45">
        <v>9.1999999999999993</v>
      </c>
      <c r="Q20" s="45">
        <v>9.1999999999999993</v>
      </c>
      <c r="R20" s="45">
        <v>9.1999999999999993</v>
      </c>
      <c r="S20" s="45">
        <v>9.1999999999999993</v>
      </c>
      <c r="T20" s="45">
        <v>9.1999999999999993</v>
      </c>
      <c r="U20" s="45">
        <v>9.1999999999999993</v>
      </c>
      <c r="V20" s="45">
        <v>9.1999999999999993</v>
      </c>
      <c r="W20" s="45">
        <v>9.1999999999999993</v>
      </c>
      <c r="X20" s="45">
        <v>9.1999999999999993</v>
      </c>
      <c r="Y20" s="45">
        <v>7.2</v>
      </c>
      <c r="Z20" s="45">
        <v>7.2</v>
      </c>
      <c r="AA20" s="45">
        <v>7.2</v>
      </c>
      <c r="AB20" s="45">
        <v>7.2</v>
      </c>
      <c r="AC20" s="45">
        <v>7.2</v>
      </c>
      <c r="AD20" s="45">
        <v>7.2</v>
      </c>
      <c r="AE20" s="45">
        <v>7.2</v>
      </c>
      <c r="AF20" s="45">
        <v>7.2</v>
      </c>
      <c r="AG20" s="50">
        <v>25</v>
      </c>
      <c r="AH20" s="47">
        <f t="shared" si="2"/>
        <v>9.1999999999999993</v>
      </c>
      <c r="AI20" s="48">
        <f t="shared" si="3"/>
        <v>7.2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7.5</v>
      </c>
      <c r="E24" s="45">
        <v>7.5</v>
      </c>
      <c r="F24" s="45">
        <v>7.5</v>
      </c>
      <c r="G24" s="45">
        <v>7.5</v>
      </c>
      <c r="H24" s="45">
        <v>7.5</v>
      </c>
      <c r="I24" s="45">
        <v>7.5</v>
      </c>
      <c r="J24" s="45">
        <v>7.5</v>
      </c>
      <c r="K24" s="45">
        <v>7.5</v>
      </c>
      <c r="L24" s="45">
        <v>7.5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50">
        <v>23.5</v>
      </c>
      <c r="AH24" s="47">
        <f t="shared" si="2"/>
        <v>7.5</v>
      </c>
      <c r="AI24" s="48">
        <f t="shared" si="3"/>
        <v>7.3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>SUM(B11:B42)</f>
        <v>362.4</v>
      </c>
      <c r="C44" s="60">
        <f t="shared" ref="C44:AG44" si="4">SUM(C11:C42)</f>
        <v>362.4</v>
      </c>
      <c r="D44" s="60">
        <f t="shared" si="4"/>
        <v>363</v>
      </c>
      <c r="E44" s="60">
        <f t="shared" si="4"/>
        <v>363</v>
      </c>
      <c r="F44" s="60">
        <f>SUM(F11:F42)</f>
        <v>363</v>
      </c>
      <c r="G44" s="60">
        <f>SUM(G11:G42)</f>
        <v>363</v>
      </c>
      <c r="H44" s="60">
        <f t="shared" si="4"/>
        <v>363</v>
      </c>
      <c r="I44" s="60">
        <f t="shared" si="4"/>
        <v>363</v>
      </c>
      <c r="J44" s="60">
        <f t="shared" si="4"/>
        <v>363</v>
      </c>
      <c r="K44" s="60">
        <f t="shared" si="4"/>
        <v>363</v>
      </c>
      <c r="L44" s="60">
        <f t="shared" si="4"/>
        <v>363</v>
      </c>
      <c r="M44" s="60">
        <f t="shared" si="4"/>
        <v>363</v>
      </c>
      <c r="N44" s="60">
        <f t="shared" si="4"/>
        <v>363</v>
      </c>
      <c r="O44" s="60">
        <f t="shared" si="4"/>
        <v>363</v>
      </c>
      <c r="P44" s="60">
        <f t="shared" si="4"/>
        <v>363</v>
      </c>
      <c r="Q44" s="60">
        <f t="shared" si="4"/>
        <v>363</v>
      </c>
      <c r="R44" s="60">
        <f t="shared" si="4"/>
        <v>363</v>
      </c>
      <c r="S44" s="60">
        <f t="shared" si="4"/>
        <v>363</v>
      </c>
      <c r="T44" s="60">
        <f t="shared" si="4"/>
        <v>363</v>
      </c>
      <c r="U44" s="60">
        <f t="shared" si="4"/>
        <v>363</v>
      </c>
      <c r="V44" s="60">
        <f t="shared" si="4"/>
        <v>363</v>
      </c>
      <c r="W44" s="60">
        <f t="shared" si="4"/>
        <v>363</v>
      </c>
      <c r="X44" s="60">
        <f t="shared" si="4"/>
        <v>361.29999999999995</v>
      </c>
      <c r="Y44" s="60">
        <f t="shared" si="4"/>
        <v>358.3</v>
      </c>
      <c r="Z44" s="60">
        <f t="shared" si="4"/>
        <v>358.3</v>
      </c>
      <c r="AA44" s="60">
        <f t="shared" si="4"/>
        <v>353.9</v>
      </c>
      <c r="AB44" s="60">
        <f t="shared" si="4"/>
        <v>353.9</v>
      </c>
      <c r="AC44" s="60">
        <f t="shared" si="4"/>
        <v>353.9</v>
      </c>
      <c r="AD44" s="60">
        <f t="shared" si="4"/>
        <v>353.9</v>
      </c>
      <c r="AE44" s="60">
        <f t="shared" si="4"/>
        <v>353.9</v>
      </c>
      <c r="AF44" s="60">
        <f t="shared" si="4"/>
        <v>353.9</v>
      </c>
      <c r="AG44" s="61">
        <f t="shared" si="4"/>
        <v>814.78000000000009</v>
      </c>
      <c r="AH44" s="47">
        <f t="shared" si="2"/>
        <v>363</v>
      </c>
      <c r="AI44" s="48">
        <f t="shared" si="3"/>
        <v>353.9</v>
      </c>
      <c r="AK44" s="49"/>
    </row>
    <row r="45" spans="1:88" x14ac:dyDescent="0.25">
      <c r="A45" s="62" t="s">
        <v>53</v>
      </c>
      <c r="B45" s="45">
        <v>35</v>
      </c>
      <c r="C45" s="45"/>
      <c r="D45" s="45">
        <v>15</v>
      </c>
      <c r="E45" s="45">
        <v>0</v>
      </c>
      <c r="F45" s="45">
        <v>0</v>
      </c>
      <c r="G45" s="45">
        <v>0</v>
      </c>
      <c r="H45" s="45">
        <v>15</v>
      </c>
      <c r="I45" s="45">
        <v>50</v>
      </c>
      <c r="J45" s="45">
        <v>50</v>
      </c>
      <c r="K45" s="45">
        <v>210</v>
      </c>
      <c r="L45" s="45">
        <v>260</v>
      </c>
      <c r="M45" s="63">
        <v>270</v>
      </c>
      <c r="N45" s="63">
        <v>100</v>
      </c>
      <c r="O45" s="63">
        <v>100</v>
      </c>
      <c r="P45" s="63">
        <v>100</v>
      </c>
      <c r="Q45" s="45">
        <v>40</v>
      </c>
      <c r="R45" s="45">
        <v>45</v>
      </c>
      <c r="S45" s="45">
        <v>65</v>
      </c>
      <c r="T45" s="45">
        <v>65</v>
      </c>
      <c r="U45" s="45">
        <v>50</v>
      </c>
      <c r="V45" s="45">
        <v>50</v>
      </c>
      <c r="W45" s="45">
        <v>40</v>
      </c>
      <c r="X45" s="45">
        <v>40</v>
      </c>
      <c r="Y45" s="45">
        <v>240</v>
      </c>
      <c r="Z45" s="45">
        <v>317</v>
      </c>
      <c r="AA45" s="45">
        <v>317</v>
      </c>
      <c r="AB45" s="45">
        <v>170</v>
      </c>
      <c r="AC45" s="45">
        <v>40</v>
      </c>
      <c r="AD45" s="45">
        <v>40</v>
      </c>
      <c r="AE45" s="45">
        <v>30</v>
      </c>
      <c r="AF45" s="45">
        <v>15</v>
      </c>
      <c r="AG45" s="51">
        <v>456</v>
      </c>
      <c r="AH45" s="47">
        <f t="shared" si="2"/>
        <v>317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27</v>
      </c>
      <c r="C46" s="65"/>
      <c r="D46" s="65">
        <v>27</v>
      </c>
      <c r="E46" s="65">
        <v>27</v>
      </c>
      <c r="F46" s="65">
        <v>27</v>
      </c>
      <c r="G46" s="65">
        <v>27</v>
      </c>
      <c r="H46" s="65">
        <v>27</v>
      </c>
      <c r="I46" s="65">
        <v>27</v>
      </c>
      <c r="J46" s="65">
        <v>27</v>
      </c>
      <c r="K46" s="65">
        <v>27</v>
      </c>
      <c r="L46" s="65">
        <v>27</v>
      </c>
      <c r="M46" s="65">
        <v>27</v>
      </c>
      <c r="N46" s="65">
        <v>27</v>
      </c>
      <c r="O46" s="65">
        <v>27</v>
      </c>
      <c r="P46" s="65">
        <v>27</v>
      </c>
      <c r="Q46" s="65">
        <v>30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27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/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10.199999999999999</v>
      </c>
      <c r="Z47" s="67">
        <v>10.199999999999999</v>
      </c>
      <c r="AA47" s="67">
        <v>10.199999999999999</v>
      </c>
      <c r="AB47" s="67">
        <v>10.199999999999999</v>
      </c>
      <c r="AC47" s="67">
        <v>10.199999999999999</v>
      </c>
      <c r="AD47" s="67">
        <v>10.199999999999999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10.199999999999999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>SUM(B45:B47)</f>
        <v>72.2</v>
      </c>
      <c r="C48" s="60">
        <f t="shared" ref="C48:AG48" si="5">SUM(C45:C47)</f>
        <v>0</v>
      </c>
      <c r="D48" s="60">
        <f t="shared" si="5"/>
        <v>52.2</v>
      </c>
      <c r="E48" s="60">
        <f t="shared" si="5"/>
        <v>37.200000000000003</v>
      </c>
      <c r="F48" s="60">
        <f t="shared" si="5"/>
        <v>37.200000000000003</v>
      </c>
      <c r="G48" s="60">
        <f t="shared" si="5"/>
        <v>37.200000000000003</v>
      </c>
      <c r="H48" s="60">
        <f t="shared" si="5"/>
        <v>52.2</v>
      </c>
      <c r="I48" s="60">
        <f t="shared" si="5"/>
        <v>87.2</v>
      </c>
      <c r="J48" s="60">
        <f t="shared" si="5"/>
        <v>87.2</v>
      </c>
      <c r="K48" s="60">
        <f t="shared" si="5"/>
        <v>247.2</v>
      </c>
      <c r="L48" s="60">
        <f t="shared" si="5"/>
        <v>297.2</v>
      </c>
      <c r="M48" s="60">
        <f t="shared" si="5"/>
        <v>307.2</v>
      </c>
      <c r="N48" s="60">
        <f t="shared" si="5"/>
        <v>137.19999999999999</v>
      </c>
      <c r="O48" s="60">
        <f t="shared" si="5"/>
        <v>137.19999999999999</v>
      </c>
      <c r="P48" s="60">
        <f t="shared" si="5"/>
        <v>137.19999999999999</v>
      </c>
      <c r="Q48" s="60">
        <f t="shared" si="5"/>
        <v>80.2</v>
      </c>
      <c r="R48" s="60">
        <f t="shared" si="5"/>
        <v>90.2</v>
      </c>
      <c r="S48" s="60">
        <f t="shared" si="5"/>
        <v>110.2</v>
      </c>
      <c r="T48" s="60">
        <f t="shared" si="5"/>
        <v>110.2</v>
      </c>
      <c r="U48" s="60">
        <f t="shared" si="5"/>
        <v>95.2</v>
      </c>
      <c r="V48" s="60">
        <f t="shared" si="5"/>
        <v>95.2</v>
      </c>
      <c r="W48" s="60">
        <f t="shared" si="5"/>
        <v>85.2</v>
      </c>
      <c r="X48" s="60">
        <f t="shared" si="5"/>
        <v>85.2</v>
      </c>
      <c r="Y48" s="60">
        <f t="shared" si="5"/>
        <v>285.2</v>
      </c>
      <c r="Z48" s="60">
        <f t="shared" si="5"/>
        <v>362.2</v>
      </c>
      <c r="AA48" s="60">
        <f t="shared" si="5"/>
        <v>362.2</v>
      </c>
      <c r="AB48" s="60">
        <f t="shared" si="5"/>
        <v>215.2</v>
      </c>
      <c r="AC48" s="60">
        <f t="shared" si="5"/>
        <v>85.2</v>
      </c>
      <c r="AD48" s="60">
        <f t="shared" si="5"/>
        <v>85.2</v>
      </c>
      <c r="AE48" s="60">
        <f t="shared" si="5"/>
        <v>75.2</v>
      </c>
      <c r="AF48" s="60">
        <f t="shared" si="5"/>
        <v>60.2</v>
      </c>
      <c r="AG48" s="61">
        <f t="shared" si="5"/>
        <v>538.1</v>
      </c>
      <c r="AH48" s="47">
        <f t="shared" si="2"/>
        <v>362.2</v>
      </c>
      <c r="AI48" s="48">
        <f t="shared" si="3"/>
        <v>0</v>
      </c>
      <c r="AK48" s="49"/>
    </row>
    <row r="49" spans="1:41" x14ac:dyDescent="0.25">
      <c r="A49" s="44" t="s">
        <v>57</v>
      </c>
      <c r="B49" s="45">
        <v>0</v>
      </c>
      <c r="C49" s="45"/>
      <c r="D49" s="45">
        <v>0</v>
      </c>
      <c r="E49" s="45">
        <v>0</v>
      </c>
      <c r="F49" s="45">
        <v>0</v>
      </c>
      <c r="G49" s="45">
        <v>0</v>
      </c>
      <c r="H49" s="45">
        <v>28</v>
      </c>
      <c r="I49" s="45">
        <v>48.5</v>
      </c>
      <c r="J49" s="45">
        <v>65</v>
      </c>
      <c r="K49" s="45">
        <v>95.3</v>
      </c>
      <c r="L49" s="45">
        <v>81.3</v>
      </c>
      <c r="M49" s="45">
        <v>81.2</v>
      </c>
      <c r="N49" s="45">
        <v>85</v>
      </c>
      <c r="O49" s="45">
        <v>70</v>
      </c>
      <c r="P49" s="45">
        <v>91</v>
      </c>
      <c r="Q49" s="45">
        <v>121</v>
      </c>
      <c r="R49" s="45">
        <v>93.1</v>
      </c>
      <c r="S49" s="45">
        <v>67.7</v>
      </c>
      <c r="T49" s="45">
        <v>82</v>
      </c>
      <c r="U49" s="45">
        <v>82</v>
      </c>
      <c r="V49" s="45">
        <v>82</v>
      </c>
      <c r="W49" s="45">
        <v>62.5</v>
      </c>
      <c r="X49" s="45">
        <v>92</v>
      </c>
      <c r="Y49" s="45">
        <v>133</v>
      </c>
      <c r="Z49" s="45">
        <v>82</v>
      </c>
      <c r="AA49" s="45">
        <v>82</v>
      </c>
      <c r="AB49" s="45">
        <v>82</v>
      </c>
      <c r="AC49" s="45">
        <v>61</v>
      </c>
      <c r="AD49" s="45">
        <v>61</v>
      </c>
      <c r="AE49" s="45">
        <v>48</v>
      </c>
      <c r="AF49" s="45">
        <v>30</v>
      </c>
      <c r="AG49" s="51">
        <v>144</v>
      </c>
      <c r="AH49" s="47">
        <f t="shared" si="2"/>
        <v>133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24.8</v>
      </c>
      <c r="C50" s="65"/>
      <c r="D50" s="65">
        <v>24.9</v>
      </c>
      <c r="E50" s="65">
        <v>22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34.5</v>
      </c>
      <c r="L50" s="65">
        <v>33.200000000000003</v>
      </c>
      <c r="M50" s="65">
        <v>33.200000000000003</v>
      </c>
      <c r="N50" s="65">
        <v>60</v>
      </c>
      <c r="O50" s="65">
        <v>50.6</v>
      </c>
      <c r="P50" s="65">
        <v>49</v>
      </c>
      <c r="Q50" s="65">
        <v>51</v>
      </c>
      <c r="R50" s="65">
        <v>40</v>
      </c>
      <c r="S50" s="45">
        <v>23.9</v>
      </c>
      <c r="T50" s="45">
        <v>22.7</v>
      </c>
      <c r="U50" s="45">
        <v>30</v>
      </c>
      <c r="V50" s="45">
        <v>30</v>
      </c>
      <c r="W50" s="45">
        <v>0</v>
      </c>
      <c r="X50" s="45">
        <v>27</v>
      </c>
      <c r="Y50" s="45">
        <v>66</v>
      </c>
      <c r="Z50" s="45">
        <v>56</v>
      </c>
      <c r="AA50" s="45">
        <v>56</v>
      </c>
      <c r="AB50" s="45">
        <v>35.1</v>
      </c>
      <c r="AC50" s="45">
        <v>25</v>
      </c>
      <c r="AD50" s="45">
        <v>25</v>
      </c>
      <c r="AE50" s="45">
        <v>25</v>
      </c>
      <c r="AF50" s="45">
        <v>0</v>
      </c>
      <c r="AG50" s="54">
        <v>70</v>
      </c>
      <c r="AH50" s="47">
        <f t="shared" si="2"/>
        <v>66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/>
      <c r="D51" s="65">
        <v>0</v>
      </c>
      <c r="E51" s="65">
        <v>0</v>
      </c>
      <c r="F51" s="65">
        <v>0</v>
      </c>
      <c r="G51" s="65">
        <v>18</v>
      </c>
      <c r="H51" s="65">
        <v>37.700000000000003</v>
      </c>
      <c r="I51" s="65">
        <v>46.2</v>
      </c>
      <c r="J51" s="65">
        <v>46.2</v>
      </c>
      <c r="K51" s="65">
        <v>46.3</v>
      </c>
      <c r="L51" s="65">
        <v>46.1</v>
      </c>
      <c r="M51" s="65">
        <v>46.1</v>
      </c>
      <c r="N51" s="65">
        <v>50</v>
      </c>
      <c r="O51" s="65">
        <v>50</v>
      </c>
      <c r="P51" s="65">
        <v>52</v>
      </c>
      <c r="Q51" s="65">
        <v>32.4</v>
      </c>
      <c r="R51" s="65">
        <v>46.3</v>
      </c>
      <c r="S51" s="45">
        <v>34.700000000000003</v>
      </c>
      <c r="T51" s="45">
        <v>46.2</v>
      </c>
      <c r="U51" s="45">
        <v>46.2</v>
      </c>
      <c r="V51" s="45">
        <v>46.2</v>
      </c>
      <c r="W51" s="45">
        <v>17</v>
      </c>
      <c r="X51" s="45">
        <v>36</v>
      </c>
      <c r="Y51" s="45">
        <v>44</v>
      </c>
      <c r="Z51" s="45">
        <v>61</v>
      </c>
      <c r="AA51" s="45">
        <v>61</v>
      </c>
      <c r="AB51" s="45">
        <v>51.6</v>
      </c>
      <c r="AC51" s="45">
        <v>51.6</v>
      </c>
      <c r="AD51" s="45">
        <v>51.6</v>
      </c>
      <c r="AE51" s="45">
        <v>43</v>
      </c>
      <c r="AF51" s="45">
        <v>32</v>
      </c>
      <c r="AG51" s="54">
        <v>69</v>
      </c>
      <c r="AH51" s="47">
        <f t="shared" si="2"/>
        <v>61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44.6</v>
      </c>
      <c r="C52" s="56"/>
      <c r="D52" s="56">
        <v>44.3</v>
      </c>
      <c r="E52" s="56">
        <v>44.3</v>
      </c>
      <c r="F52" s="56">
        <v>44.3</v>
      </c>
      <c r="G52" s="56">
        <v>44.3</v>
      </c>
      <c r="H52" s="56">
        <v>44.3</v>
      </c>
      <c r="I52" s="56">
        <v>44.3</v>
      </c>
      <c r="J52" s="56">
        <v>44.3</v>
      </c>
      <c r="K52" s="56">
        <v>44.3</v>
      </c>
      <c r="L52" s="56">
        <v>44.3</v>
      </c>
      <c r="M52" s="56">
        <v>44.3</v>
      </c>
      <c r="N52" s="65">
        <v>43</v>
      </c>
      <c r="O52" s="65">
        <v>43</v>
      </c>
      <c r="P52" s="65">
        <v>43</v>
      </c>
      <c r="Q52" s="65">
        <v>43</v>
      </c>
      <c r="R52" s="65">
        <v>43</v>
      </c>
      <c r="S52" s="45">
        <v>43.1</v>
      </c>
      <c r="T52" s="45">
        <v>43.1</v>
      </c>
      <c r="U52" s="45">
        <v>43.1</v>
      </c>
      <c r="V52" s="45">
        <v>43.1</v>
      </c>
      <c r="W52" s="45">
        <v>43.1</v>
      </c>
      <c r="X52" s="65">
        <v>39.299999999999997</v>
      </c>
      <c r="Y52" s="65">
        <v>39.5</v>
      </c>
      <c r="Z52" s="65">
        <v>39.5</v>
      </c>
      <c r="AA52" s="65">
        <v>39.5</v>
      </c>
      <c r="AB52" s="65">
        <v>39.5</v>
      </c>
      <c r="AC52" s="65">
        <v>39.5</v>
      </c>
      <c r="AD52" s="65">
        <v>39.5</v>
      </c>
      <c r="AE52" s="65">
        <v>42</v>
      </c>
      <c r="AF52" s="65">
        <v>42</v>
      </c>
      <c r="AG52" s="54">
        <v>60</v>
      </c>
      <c r="AH52" s="47">
        <f t="shared" si="2"/>
        <v>44.6</v>
      </c>
      <c r="AI52" s="48">
        <f t="shared" si="3"/>
        <v>39.299999999999997</v>
      </c>
      <c r="AK52" s="49"/>
    </row>
    <row r="53" spans="1:41" x14ac:dyDescent="0.25">
      <c r="A53" s="53" t="s">
        <v>61</v>
      </c>
      <c r="B53" s="65">
        <v>0</v>
      </c>
      <c r="C53" s="56"/>
      <c r="D53" s="56">
        <v>0</v>
      </c>
      <c r="E53" s="56">
        <v>0</v>
      </c>
      <c r="F53" s="56">
        <v>0</v>
      </c>
      <c r="G53" s="56">
        <v>13</v>
      </c>
      <c r="H53" s="56">
        <v>13</v>
      </c>
      <c r="I53" s="56">
        <v>15</v>
      </c>
      <c r="J53" s="56">
        <v>30</v>
      </c>
      <c r="K53" s="56">
        <v>28</v>
      </c>
      <c r="L53" s="56">
        <v>28</v>
      </c>
      <c r="M53" s="56">
        <v>28</v>
      </c>
      <c r="N53" s="65">
        <v>15</v>
      </c>
      <c r="O53" s="65">
        <v>15</v>
      </c>
      <c r="P53" s="65">
        <v>15</v>
      </c>
      <c r="Q53" s="65">
        <v>15</v>
      </c>
      <c r="R53" s="65">
        <v>15</v>
      </c>
      <c r="S53" s="65">
        <v>15</v>
      </c>
      <c r="T53" s="65">
        <v>15</v>
      </c>
      <c r="U53" s="65">
        <v>0</v>
      </c>
      <c r="V53" s="65">
        <v>0</v>
      </c>
      <c r="W53" s="65">
        <v>0</v>
      </c>
      <c r="X53" s="65">
        <v>12</v>
      </c>
      <c r="Y53" s="65">
        <v>30</v>
      </c>
      <c r="Z53" s="65">
        <v>30</v>
      </c>
      <c r="AA53" s="65">
        <v>30</v>
      </c>
      <c r="AB53" s="65">
        <v>15</v>
      </c>
      <c r="AC53" s="65">
        <v>13</v>
      </c>
      <c r="AD53" s="65">
        <v>15</v>
      </c>
      <c r="AE53" s="65">
        <v>13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6</v>
      </c>
      <c r="O54" s="45">
        <v>6</v>
      </c>
      <c r="P54" s="45">
        <v>6</v>
      </c>
      <c r="Q54" s="45">
        <v>6</v>
      </c>
      <c r="R54" s="45">
        <v>6</v>
      </c>
      <c r="S54" s="45">
        <v>6</v>
      </c>
      <c r="T54" s="45">
        <v>6</v>
      </c>
      <c r="U54" s="45">
        <v>6</v>
      </c>
      <c r="V54" s="45">
        <v>6</v>
      </c>
      <c r="W54" s="45">
        <v>6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13</v>
      </c>
      <c r="Z55" s="65">
        <v>13</v>
      </c>
      <c r="AA55" s="65">
        <v>13</v>
      </c>
      <c r="AB55" s="65">
        <v>13</v>
      </c>
      <c r="AC55" s="65">
        <v>13</v>
      </c>
      <c r="AD55" s="65">
        <v>13</v>
      </c>
      <c r="AE55" s="65">
        <v>13</v>
      </c>
      <c r="AF55" s="65">
        <v>13</v>
      </c>
      <c r="AG55" s="54">
        <v>24</v>
      </c>
      <c r="AH55" s="47">
        <f t="shared" si="2"/>
        <v>16</v>
      </c>
      <c r="AI55" s="48">
        <f t="shared" si="3"/>
        <v>13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10.1</v>
      </c>
      <c r="C57" s="65">
        <v>10.1</v>
      </c>
      <c r="D57" s="65">
        <v>10.1</v>
      </c>
      <c r="E57" s="65">
        <v>10.1</v>
      </c>
      <c r="F57" s="65">
        <v>10.1</v>
      </c>
      <c r="G57" s="65">
        <v>10.1</v>
      </c>
      <c r="H57" s="65">
        <v>10.1</v>
      </c>
      <c r="I57" s="65">
        <v>10.1</v>
      </c>
      <c r="J57" s="65">
        <v>10.1</v>
      </c>
      <c r="K57" s="65">
        <v>10.1</v>
      </c>
      <c r="L57" s="65">
        <v>10.1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10.1</v>
      </c>
      <c r="U57" s="65">
        <v>10.1</v>
      </c>
      <c r="V57" s="65">
        <v>10.1</v>
      </c>
      <c r="W57" s="65">
        <v>10.1</v>
      </c>
      <c r="X57" s="65">
        <v>10.1</v>
      </c>
      <c r="Y57" s="65">
        <v>10.1</v>
      </c>
      <c r="Z57" s="65">
        <v>10.1</v>
      </c>
      <c r="AA57" s="65">
        <v>10.1</v>
      </c>
      <c r="AB57" s="65">
        <v>10.1</v>
      </c>
      <c r="AC57" s="65">
        <v>10.1</v>
      </c>
      <c r="AD57" s="65">
        <v>10.1</v>
      </c>
      <c r="AE57" s="65">
        <v>10.1</v>
      </c>
      <c r="AF57" s="65">
        <v>10.1</v>
      </c>
      <c r="AG57" s="54">
        <v>14.1</v>
      </c>
      <c r="AH57" s="47">
        <f t="shared" si="2"/>
        <v>10.1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>SUM(B49:B61)</f>
        <v>114.64000000000001</v>
      </c>
      <c r="C62" s="60">
        <f t="shared" ref="C62:AG62" si="6">SUM(C49:C61)</f>
        <v>45.24</v>
      </c>
      <c r="D62" s="60">
        <f t="shared" si="6"/>
        <v>114.44</v>
      </c>
      <c r="E62" s="60">
        <f t="shared" si="6"/>
        <v>111.54</v>
      </c>
      <c r="F62" s="60">
        <f t="shared" si="6"/>
        <v>89.54</v>
      </c>
      <c r="G62" s="60">
        <f t="shared" si="6"/>
        <v>120.54</v>
      </c>
      <c r="H62" s="60">
        <f t="shared" si="6"/>
        <v>168.23999999999995</v>
      </c>
      <c r="I62" s="60">
        <f t="shared" si="6"/>
        <v>199.23999999999995</v>
      </c>
      <c r="J62" s="60">
        <f t="shared" si="6"/>
        <v>230.73999999999995</v>
      </c>
      <c r="K62" s="60">
        <f t="shared" si="6"/>
        <v>293.64000000000004</v>
      </c>
      <c r="L62" s="60">
        <f t="shared" si="6"/>
        <v>278.14</v>
      </c>
      <c r="M62" s="60">
        <f t="shared" si="6"/>
        <v>278.04000000000002</v>
      </c>
      <c r="N62" s="60">
        <f t="shared" si="6"/>
        <v>304.24</v>
      </c>
      <c r="O62" s="60">
        <f t="shared" si="6"/>
        <v>279.83999999999997</v>
      </c>
      <c r="P62" s="60">
        <f t="shared" si="6"/>
        <v>301.24</v>
      </c>
      <c r="Q62" s="60">
        <f t="shared" si="6"/>
        <v>313.64</v>
      </c>
      <c r="R62" s="60">
        <f t="shared" si="6"/>
        <v>288.64</v>
      </c>
      <c r="S62" s="60">
        <f t="shared" si="6"/>
        <v>235.63999999999996</v>
      </c>
      <c r="T62" s="60">
        <f t="shared" si="6"/>
        <v>260.24</v>
      </c>
      <c r="U62" s="60">
        <f t="shared" si="6"/>
        <v>252.53999999999994</v>
      </c>
      <c r="V62" s="60">
        <f t="shared" si="6"/>
        <v>252.53999999999994</v>
      </c>
      <c r="W62" s="60">
        <f t="shared" si="6"/>
        <v>173.83999999999995</v>
      </c>
      <c r="X62" s="60">
        <f t="shared" si="6"/>
        <v>251.53999999999996</v>
      </c>
      <c r="Y62" s="60">
        <f t="shared" si="6"/>
        <v>354.74</v>
      </c>
      <c r="Z62" s="60">
        <f t="shared" si="6"/>
        <v>310.74</v>
      </c>
      <c r="AA62" s="60">
        <f t="shared" si="6"/>
        <v>310.74</v>
      </c>
      <c r="AB62" s="60">
        <f t="shared" si="6"/>
        <v>265.44</v>
      </c>
      <c r="AC62" s="60">
        <f t="shared" si="6"/>
        <v>232.33999999999995</v>
      </c>
      <c r="AD62" s="60">
        <f t="shared" si="6"/>
        <v>234.33999999999995</v>
      </c>
      <c r="AE62" s="60">
        <f t="shared" si="6"/>
        <v>213.23999999999995</v>
      </c>
      <c r="AF62" s="60">
        <f t="shared" si="6"/>
        <v>146.23999999999998</v>
      </c>
      <c r="AG62" s="61">
        <f t="shared" si="6"/>
        <v>489.91</v>
      </c>
      <c r="AH62" s="47">
        <f t="shared" si="2"/>
        <v>354.74</v>
      </c>
      <c r="AI62" s="48">
        <f t="shared" si="3"/>
        <v>45.24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25</v>
      </c>
      <c r="L63" s="45">
        <v>25</v>
      </c>
      <c r="M63" s="45">
        <v>25</v>
      </c>
      <c r="N63" s="45">
        <v>0</v>
      </c>
      <c r="O63" s="45">
        <v>0</v>
      </c>
      <c r="P63" s="45">
        <v>0</v>
      </c>
      <c r="Q63" s="45">
        <v>0</v>
      </c>
      <c r="R63" s="45">
        <v>30</v>
      </c>
      <c r="S63" s="45">
        <v>45</v>
      </c>
      <c r="T63" s="45">
        <v>60</v>
      </c>
      <c r="U63" s="45">
        <v>60</v>
      </c>
      <c r="V63" s="45">
        <v>60</v>
      </c>
      <c r="W63" s="45">
        <v>35</v>
      </c>
      <c r="X63" s="45">
        <v>50</v>
      </c>
      <c r="Y63" s="45">
        <v>50</v>
      </c>
      <c r="Z63" s="45">
        <v>30</v>
      </c>
      <c r="AA63" s="45">
        <v>30</v>
      </c>
      <c r="AB63" s="45">
        <v>20</v>
      </c>
      <c r="AC63" s="45">
        <v>14</v>
      </c>
      <c r="AD63" s="45">
        <v>14</v>
      </c>
      <c r="AE63" s="45">
        <v>30</v>
      </c>
      <c r="AF63" s="45">
        <v>10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12.5</v>
      </c>
      <c r="L64" s="65">
        <v>12.4</v>
      </c>
      <c r="M64" s="65">
        <v>12.4</v>
      </c>
      <c r="N64" s="65">
        <v>0</v>
      </c>
      <c r="O64" s="65">
        <v>0</v>
      </c>
      <c r="P64" s="65">
        <v>0</v>
      </c>
      <c r="Q64" s="45">
        <v>0</v>
      </c>
      <c r="R64" s="45">
        <v>15</v>
      </c>
      <c r="S64" s="65">
        <v>18</v>
      </c>
      <c r="T64" s="65">
        <v>28.3</v>
      </c>
      <c r="U64" s="65">
        <v>28.3</v>
      </c>
      <c r="V64" s="65">
        <v>28.3</v>
      </c>
      <c r="W64" s="65">
        <v>14</v>
      </c>
      <c r="X64" s="65">
        <v>20</v>
      </c>
      <c r="Y64" s="65">
        <v>25</v>
      </c>
      <c r="Z64" s="65">
        <v>14</v>
      </c>
      <c r="AA64" s="65">
        <v>14</v>
      </c>
      <c r="AB64" s="65">
        <v>14</v>
      </c>
      <c r="AC64" s="65">
        <v>5</v>
      </c>
      <c r="AD64" s="65">
        <v>5</v>
      </c>
      <c r="AE64" s="65">
        <v>9.6999999999999993</v>
      </c>
      <c r="AF64" s="45">
        <v>4.4000000000000004</v>
      </c>
      <c r="AG64" s="54">
        <v>32</v>
      </c>
      <c r="AH64" s="47">
        <f t="shared" si="2"/>
        <v>28.3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4.5999999999999996</v>
      </c>
      <c r="L65" s="67">
        <v>4.5</v>
      </c>
      <c r="M65" s="67">
        <v>4.5</v>
      </c>
      <c r="N65" s="67">
        <v>0</v>
      </c>
      <c r="O65" s="67">
        <v>0</v>
      </c>
      <c r="P65" s="67">
        <v>0</v>
      </c>
      <c r="Q65" s="45">
        <v>0</v>
      </c>
      <c r="R65" s="45">
        <v>6</v>
      </c>
      <c r="S65" s="67">
        <v>6.3</v>
      </c>
      <c r="T65" s="67">
        <v>10.3</v>
      </c>
      <c r="U65" s="67">
        <v>10.3</v>
      </c>
      <c r="V65" s="67">
        <v>10.3</v>
      </c>
      <c r="W65" s="67">
        <v>5.2</v>
      </c>
      <c r="X65" s="67">
        <v>7.5</v>
      </c>
      <c r="Y65" s="67">
        <v>9</v>
      </c>
      <c r="Z65" s="67">
        <v>5</v>
      </c>
      <c r="AA65" s="67">
        <v>5</v>
      </c>
      <c r="AB65" s="67">
        <v>5.0999999999999996</v>
      </c>
      <c r="AC65" s="67">
        <v>1.8</v>
      </c>
      <c r="AD65" s="67">
        <v>1.8</v>
      </c>
      <c r="AE65" s="67">
        <v>3.5</v>
      </c>
      <c r="AF65" s="45">
        <v>1.6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41.9</v>
      </c>
      <c r="M66" s="60">
        <f t="shared" ref="M66:AF66" si="7">M63+M64+M65</f>
        <v>41.9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51</v>
      </c>
      <c r="S66" s="60">
        <f t="shared" si="7"/>
        <v>69.3</v>
      </c>
      <c r="T66" s="60">
        <f t="shared" si="7"/>
        <v>98.6</v>
      </c>
      <c r="U66" s="60">
        <f t="shared" si="7"/>
        <v>98.6</v>
      </c>
      <c r="V66" s="60">
        <f t="shared" si="7"/>
        <v>98.6</v>
      </c>
      <c r="W66" s="60">
        <f t="shared" si="7"/>
        <v>54.2</v>
      </c>
      <c r="X66" s="60">
        <f t="shared" si="7"/>
        <v>77.5</v>
      </c>
      <c r="Y66" s="60">
        <f t="shared" si="7"/>
        <v>84</v>
      </c>
      <c r="Z66" s="60">
        <f t="shared" si="7"/>
        <v>49</v>
      </c>
      <c r="AA66" s="60">
        <f t="shared" si="7"/>
        <v>49</v>
      </c>
      <c r="AB66" s="60">
        <f t="shared" si="7"/>
        <v>39.1</v>
      </c>
      <c r="AC66" s="60">
        <f t="shared" si="7"/>
        <v>20.8</v>
      </c>
      <c r="AD66" s="60">
        <f t="shared" si="7"/>
        <v>20.8</v>
      </c>
      <c r="AE66" s="60">
        <f t="shared" si="7"/>
        <v>43.2</v>
      </c>
      <c r="AF66" s="60">
        <f t="shared" si="7"/>
        <v>16</v>
      </c>
      <c r="AG66" s="61">
        <f>SUM(AG63:AG65)</f>
        <v>106</v>
      </c>
      <c r="AH66" s="47">
        <f t="shared" si="2"/>
        <v>98.6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57.9</v>
      </c>
      <c r="C67" s="45">
        <v>59.2</v>
      </c>
      <c r="D67" s="45">
        <v>61.9</v>
      </c>
      <c r="E67" s="45">
        <v>57.2</v>
      </c>
      <c r="F67" s="45">
        <v>77.5</v>
      </c>
      <c r="G67" s="45">
        <v>61.3</v>
      </c>
      <c r="H67" s="45">
        <v>69</v>
      </c>
      <c r="I67" s="45">
        <v>70.099999999999994</v>
      </c>
      <c r="J67" s="45">
        <v>68</v>
      </c>
      <c r="K67" s="45">
        <v>48.2</v>
      </c>
      <c r="L67" s="45">
        <v>51.4</v>
      </c>
      <c r="M67" s="45">
        <v>55.1</v>
      </c>
      <c r="N67" s="45">
        <v>56</v>
      </c>
      <c r="O67" s="45">
        <v>46</v>
      </c>
      <c r="P67" s="45">
        <v>70</v>
      </c>
      <c r="Q67" s="45">
        <v>53</v>
      </c>
      <c r="R67" s="45">
        <v>52.6</v>
      </c>
      <c r="S67" s="45">
        <v>71.400000000000006</v>
      </c>
      <c r="T67" s="45">
        <v>71.8</v>
      </c>
      <c r="U67" s="45">
        <v>75</v>
      </c>
      <c r="V67" s="45">
        <v>74</v>
      </c>
      <c r="W67" s="45">
        <v>78</v>
      </c>
      <c r="X67" s="45">
        <v>56</v>
      </c>
      <c r="Y67" s="45">
        <v>45</v>
      </c>
      <c r="Z67" s="45">
        <v>47</v>
      </c>
      <c r="AA67" s="45">
        <v>47</v>
      </c>
      <c r="AB67" s="45">
        <v>47</v>
      </c>
      <c r="AC67" s="45">
        <v>68</v>
      </c>
      <c r="AD67" s="45">
        <v>66.3</v>
      </c>
      <c r="AE67" s="45">
        <v>63.3</v>
      </c>
      <c r="AF67" s="45">
        <v>60</v>
      </c>
      <c r="AG67" s="51"/>
      <c r="AH67" s="47">
        <f t="shared" si="2"/>
        <v>78</v>
      </c>
      <c r="AI67" s="48">
        <f t="shared" si="3"/>
        <v>45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338.7</v>
      </c>
      <c r="C69" s="65">
        <v>342.6</v>
      </c>
      <c r="D69" s="65">
        <v>339.4</v>
      </c>
      <c r="E69" s="65">
        <v>341.1</v>
      </c>
      <c r="F69" s="65">
        <v>322.5</v>
      </c>
      <c r="G69" s="65">
        <v>352.2</v>
      </c>
      <c r="H69" s="65">
        <v>354</v>
      </c>
      <c r="I69" s="65">
        <v>342</v>
      </c>
      <c r="J69" s="65">
        <v>266.2</v>
      </c>
      <c r="K69" s="65">
        <v>175.4</v>
      </c>
      <c r="L69" s="65">
        <v>166.9</v>
      </c>
      <c r="M69" s="65">
        <v>165</v>
      </c>
      <c r="N69" s="65">
        <v>274</v>
      </c>
      <c r="O69" s="65">
        <v>294</v>
      </c>
      <c r="P69" s="65">
        <v>355</v>
      </c>
      <c r="Q69" s="65">
        <v>326</v>
      </c>
      <c r="R69" s="65">
        <v>347</v>
      </c>
      <c r="S69" s="65">
        <v>346.6</v>
      </c>
      <c r="T69" s="65">
        <v>345</v>
      </c>
      <c r="U69" s="65">
        <v>338</v>
      </c>
      <c r="V69" s="65">
        <v>352</v>
      </c>
      <c r="W69" s="65">
        <v>339</v>
      </c>
      <c r="X69" s="65">
        <v>330</v>
      </c>
      <c r="Y69" s="65">
        <v>161</v>
      </c>
      <c r="Z69" s="65">
        <v>95</v>
      </c>
      <c r="AA69" s="65">
        <v>85</v>
      </c>
      <c r="AB69" s="65">
        <v>182</v>
      </c>
      <c r="AC69" s="65">
        <v>335</v>
      </c>
      <c r="AD69" s="65">
        <v>340</v>
      </c>
      <c r="AE69" s="65">
        <v>341</v>
      </c>
      <c r="AF69" s="65">
        <v>312</v>
      </c>
      <c r="AG69" s="75"/>
      <c r="AH69" s="47">
        <f t="shared" si="2"/>
        <v>355</v>
      </c>
      <c r="AI69" s="48">
        <f t="shared" si="3"/>
        <v>85</v>
      </c>
      <c r="AK69" s="49"/>
    </row>
    <row r="70" spans="1:40" x14ac:dyDescent="0.25">
      <c r="A70" s="53" t="s">
        <v>78</v>
      </c>
      <c r="B70" s="65">
        <v>61.5</v>
      </c>
      <c r="C70" s="65">
        <v>60.9</v>
      </c>
      <c r="D70" s="65">
        <v>60.8</v>
      </c>
      <c r="E70" s="76">
        <v>55.9</v>
      </c>
      <c r="F70" s="76">
        <v>60.1</v>
      </c>
      <c r="G70" s="76">
        <v>59.5</v>
      </c>
      <c r="H70" s="76">
        <v>61</v>
      </c>
      <c r="I70" s="76">
        <v>69.2</v>
      </c>
      <c r="J70" s="76">
        <v>71.900000000000006</v>
      </c>
      <c r="K70" s="76">
        <v>50</v>
      </c>
      <c r="L70" s="76">
        <v>53.7</v>
      </c>
      <c r="M70" s="76">
        <v>57.1</v>
      </c>
      <c r="N70" s="76">
        <v>48</v>
      </c>
      <c r="O70" s="76">
        <v>48</v>
      </c>
      <c r="P70" s="76">
        <v>58</v>
      </c>
      <c r="Q70" s="76">
        <v>60.6</v>
      </c>
      <c r="R70" s="76">
        <v>66</v>
      </c>
      <c r="S70" s="76">
        <v>62.5</v>
      </c>
      <c r="T70" s="76">
        <v>65.8</v>
      </c>
      <c r="U70" s="76">
        <v>65.8</v>
      </c>
      <c r="V70" s="76">
        <v>65.8</v>
      </c>
      <c r="W70" s="76">
        <v>49.3</v>
      </c>
      <c r="X70" s="65">
        <v>54</v>
      </c>
      <c r="Y70" s="65">
        <v>53</v>
      </c>
      <c r="Z70" s="65">
        <v>57</v>
      </c>
      <c r="AA70" s="65">
        <v>58</v>
      </c>
      <c r="AB70" s="65">
        <v>60</v>
      </c>
      <c r="AC70" s="65">
        <v>56</v>
      </c>
      <c r="AD70" s="65">
        <v>49</v>
      </c>
      <c r="AE70" s="65">
        <v>46</v>
      </c>
      <c r="AF70" s="65">
        <v>62</v>
      </c>
      <c r="AG70" s="75"/>
      <c r="AH70" s="47">
        <f t="shared" si="2"/>
        <v>71.900000000000006</v>
      </c>
      <c r="AI70" s="48">
        <f t="shared" si="3"/>
        <v>46</v>
      </c>
      <c r="AK70" s="49"/>
    </row>
    <row r="71" spans="1:40" x14ac:dyDescent="0.25">
      <c r="A71" s="53" t="s">
        <v>79</v>
      </c>
      <c r="B71" s="45">
        <v>24</v>
      </c>
      <c r="C71" s="45">
        <v>24</v>
      </c>
      <c r="D71" s="45">
        <v>24</v>
      </c>
      <c r="E71" s="45">
        <v>22</v>
      </c>
      <c r="F71" s="45">
        <v>21</v>
      </c>
      <c r="G71" s="45">
        <v>22</v>
      </c>
      <c r="H71" s="45">
        <v>20</v>
      </c>
      <c r="I71" s="45">
        <v>25</v>
      </c>
      <c r="J71" s="45">
        <v>25</v>
      </c>
      <c r="K71" s="45">
        <v>25</v>
      </c>
      <c r="L71" s="45">
        <v>65</v>
      </c>
      <c r="M71" s="45">
        <v>65</v>
      </c>
      <c r="N71" s="45">
        <v>56</v>
      </c>
      <c r="O71" s="45">
        <v>56</v>
      </c>
      <c r="P71" s="45">
        <v>32</v>
      </c>
      <c r="Q71" s="45">
        <v>30</v>
      </c>
      <c r="R71" s="45">
        <v>30</v>
      </c>
      <c r="S71" s="45">
        <v>30</v>
      </c>
      <c r="T71" s="45">
        <v>35</v>
      </c>
      <c r="U71" s="45">
        <v>35</v>
      </c>
      <c r="V71" s="45">
        <v>35</v>
      </c>
      <c r="W71" s="45">
        <v>45</v>
      </c>
      <c r="X71" s="45">
        <v>70</v>
      </c>
      <c r="Y71" s="45">
        <v>65</v>
      </c>
      <c r="Z71" s="45">
        <v>65</v>
      </c>
      <c r="AA71" s="45">
        <v>65</v>
      </c>
      <c r="AB71" s="45">
        <v>65</v>
      </c>
      <c r="AC71" s="45">
        <v>65</v>
      </c>
      <c r="AD71" s="45">
        <v>22</v>
      </c>
      <c r="AE71" s="45">
        <v>22</v>
      </c>
      <c r="AF71" s="45">
        <v>22</v>
      </c>
      <c r="AG71" s="75"/>
      <c r="AH71" s="47">
        <f t="shared" si="2"/>
        <v>70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>SUMIF(B67:B77,"&gt;0")</f>
        <v>482.09999999999997</v>
      </c>
      <c r="C78" s="60">
        <f t="shared" ref="C78:AF78" si="10">SUMIF(C67:C77,"&gt;0")</f>
        <v>486.7</v>
      </c>
      <c r="D78" s="60">
        <f t="shared" si="10"/>
        <v>486.09999999999997</v>
      </c>
      <c r="E78" s="60">
        <f t="shared" si="10"/>
        <v>476.2</v>
      </c>
      <c r="F78" s="60">
        <f t="shared" si="10"/>
        <v>481.1</v>
      </c>
      <c r="G78" s="60">
        <f t="shared" si="10"/>
        <v>495</v>
      </c>
      <c r="H78" s="60">
        <f t="shared" si="10"/>
        <v>504</v>
      </c>
      <c r="I78" s="60">
        <f t="shared" si="10"/>
        <v>511.3</v>
      </c>
      <c r="J78" s="60">
        <f t="shared" si="10"/>
        <v>436.1</v>
      </c>
      <c r="K78" s="60">
        <f t="shared" si="10"/>
        <v>303.60000000000002</v>
      </c>
      <c r="L78" s="60">
        <f t="shared" si="10"/>
        <v>342</v>
      </c>
      <c r="M78" s="60">
        <f t="shared" si="10"/>
        <v>347.2</v>
      </c>
      <c r="N78" s="60">
        <f t="shared" si="10"/>
        <v>439</v>
      </c>
      <c r="O78" s="60">
        <f t="shared" si="10"/>
        <v>449</v>
      </c>
      <c r="P78" s="60">
        <f t="shared" si="10"/>
        <v>520</v>
      </c>
      <c r="Q78" s="60">
        <f t="shared" si="10"/>
        <v>474.6</v>
      </c>
      <c r="R78" s="60">
        <f t="shared" si="10"/>
        <v>500.6</v>
      </c>
      <c r="S78" s="60">
        <f t="shared" si="10"/>
        <v>515.5</v>
      </c>
      <c r="T78" s="60">
        <f t="shared" si="10"/>
        <v>522.6</v>
      </c>
      <c r="U78" s="60">
        <f t="shared" si="10"/>
        <v>518.79999999999995</v>
      </c>
      <c r="V78" s="60">
        <f t="shared" si="10"/>
        <v>531.79999999999995</v>
      </c>
      <c r="W78" s="60">
        <f t="shared" si="10"/>
        <v>516.29999999999995</v>
      </c>
      <c r="X78" s="60">
        <f t="shared" si="10"/>
        <v>515</v>
      </c>
      <c r="Y78" s="60">
        <f t="shared" si="10"/>
        <v>329</v>
      </c>
      <c r="Z78" s="60">
        <f t="shared" si="10"/>
        <v>269</v>
      </c>
      <c r="AA78" s="60">
        <f t="shared" si="10"/>
        <v>260</v>
      </c>
      <c r="AB78" s="60">
        <f t="shared" si="10"/>
        <v>359</v>
      </c>
      <c r="AC78" s="60">
        <f t="shared" si="10"/>
        <v>529</v>
      </c>
      <c r="AD78" s="60">
        <f t="shared" si="10"/>
        <v>482.3</v>
      </c>
      <c r="AE78" s="60">
        <f t="shared" si="10"/>
        <v>477.3</v>
      </c>
      <c r="AF78" s="60">
        <f t="shared" si="10"/>
        <v>461</v>
      </c>
      <c r="AG78" s="88">
        <f>SUM(AG67:AG77)</f>
        <v>0</v>
      </c>
      <c r="AH78" s="47">
        <f t="shared" si="8"/>
        <v>531.79999999999995</v>
      </c>
      <c r="AI78" s="48">
        <f t="shared" si="9"/>
        <v>260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1031.3399999999999</v>
      </c>
      <c r="C83" s="95">
        <f t="shared" ref="C83:AG83" si="11">C44+C48+C66+C62+C78+C82</f>
        <v>894.33999999999992</v>
      </c>
      <c r="D83" s="95">
        <f t="shared" si="11"/>
        <v>1015.74</v>
      </c>
      <c r="E83" s="95">
        <f t="shared" si="11"/>
        <v>987.94</v>
      </c>
      <c r="F83" s="95">
        <f t="shared" si="11"/>
        <v>970.84</v>
      </c>
      <c r="G83" s="95">
        <f t="shared" si="11"/>
        <v>1015.74</v>
      </c>
      <c r="H83" s="95">
        <f t="shared" si="11"/>
        <v>1087.44</v>
      </c>
      <c r="I83" s="95">
        <f t="shared" si="11"/>
        <v>1160.74</v>
      </c>
      <c r="J83" s="95">
        <f t="shared" si="11"/>
        <v>1117.04</v>
      </c>
      <c r="K83" s="95">
        <f t="shared" si="11"/>
        <v>1207.44</v>
      </c>
      <c r="L83" s="95">
        <f t="shared" si="11"/>
        <v>1322.24</v>
      </c>
      <c r="M83" s="95">
        <f t="shared" si="11"/>
        <v>1337.3400000000001</v>
      </c>
      <c r="N83" s="95">
        <f t="shared" si="11"/>
        <v>1243.44</v>
      </c>
      <c r="O83" s="95">
        <f t="shared" si="11"/>
        <v>1229.04</v>
      </c>
      <c r="P83" s="95">
        <f t="shared" si="11"/>
        <v>1321.44</v>
      </c>
      <c r="Q83" s="95">
        <f t="shared" si="11"/>
        <v>1231.44</v>
      </c>
      <c r="R83" s="95">
        <f t="shared" si="11"/>
        <v>1293.44</v>
      </c>
      <c r="S83" s="95">
        <f t="shared" si="11"/>
        <v>1293.6399999999999</v>
      </c>
      <c r="T83" s="95">
        <f t="shared" si="11"/>
        <v>1354.6399999999999</v>
      </c>
      <c r="U83" s="95">
        <f t="shared" si="11"/>
        <v>1328.1399999999999</v>
      </c>
      <c r="V83" s="95">
        <f t="shared" si="11"/>
        <v>1341.1399999999999</v>
      </c>
      <c r="W83" s="95">
        <f t="shared" si="11"/>
        <v>1192.54</v>
      </c>
      <c r="X83" s="95">
        <f t="shared" si="11"/>
        <v>1290.54</v>
      </c>
      <c r="Y83" s="95">
        <f t="shared" si="11"/>
        <v>1411.24</v>
      </c>
      <c r="Z83" s="95">
        <f t="shared" si="11"/>
        <v>1349.24</v>
      </c>
      <c r="AA83" s="95">
        <f t="shared" si="11"/>
        <v>1335.84</v>
      </c>
      <c r="AB83" s="95">
        <f t="shared" si="11"/>
        <v>1232.6399999999999</v>
      </c>
      <c r="AC83" s="95">
        <f t="shared" si="11"/>
        <v>1221.2399999999998</v>
      </c>
      <c r="AD83" s="95">
        <f t="shared" si="11"/>
        <v>1176.54</v>
      </c>
      <c r="AE83" s="95">
        <f t="shared" si="11"/>
        <v>1162.8399999999999</v>
      </c>
      <c r="AF83" s="95">
        <f t="shared" si="11"/>
        <v>1037.3399999999999</v>
      </c>
      <c r="AG83" s="61">
        <f t="shared" si="11"/>
        <v>2004.1900000000003</v>
      </c>
      <c r="AH83" s="47">
        <f>MAX(B83:AF83)</f>
        <v>1411.24</v>
      </c>
      <c r="AI83" s="48">
        <f>MIN(B83:AF83)</f>
        <v>894.33999999999992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150</v>
      </c>
      <c r="M84" s="97">
        <v>150</v>
      </c>
      <c r="N84" s="97">
        <v>150</v>
      </c>
      <c r="O84" s="97">
        <v>120</v>
      </c>
      <c r="P84" s="97"/>
      <c r="Q84" s="97"/>
      <c r="R84" s="97"/>
      <c r="S84" s="97"/>
      <c r="T84" s="97"/>
      <c r="U84" s="97"/>
      <c r="V84" s="97"/>
      <c r="W84" s="97">
        <v>160</v>
      </c>
      <c r="X84" s="97">
        <v>160</v>
      </c>
      <c r="Y84" s="97">
        <v>160</v>
      </c>
      <c r="Z84" s="97">
        <v>160</v>
      </c>
      <c r="AA84" s="97">
        <v>160</v>
      </c>
      <c r="AB84" s="97">
        <v>160</v>
      </c>
      <c r="AC84" s="97">
        <v>70</v>
      </c>
      <c r="AD84" s="97"/>
      <c r="AE84" s="97"/>
      <c r="AF84" s="97"/>
      <c r="AG84" s="88"/>
      <c r="AH84" s="47">
        <f t="shared" si="8"/>
        <v>160</v>
      </c>
      <c r="AI84" s="48">
        <f t="shared" si="9"/>
        <v>70</v>
      </c>
    </row>
    <row r="85" spans="1:37" ht="15.75" thickBot="1" x14ac:dyDescent="0.3">
      <c r="A85" s="74" t="s">
        <v>96</v>
      </c>
      <c r="B85" s="95">
        <f>B83+B84</f>
        <v>1031.3399999999999</v>
      </c>
      <c r="C85" s="95">
        <f t="shared" ref="C85:AF85" si="12">C83+C84</f>
        <v>894.33999999999992</v>
      </c>
      <c r="D85" s="95">
        <f t="shared" si="12"/>
        <v>1015.74</v>
      </c>
      <c r="E85" s="95">
        <f t="shared" si="12"/>
        <v>987.94</v>
      </c>
      <c r="F85" s="95">
        <f t="shared" si="12"/>
        <v>970.84</v>
      </c>
      <c r="G85" s="95">
        <f t="shared" si="12"/>
        <v>1015.74</v>
      </c>
      <c r="H85" s="95">
        <f t="shared" si="12"/>
        <v>1087.44</v>
      </c>
      <c r="I85" s="95">
        <f t="shared" si="12"/>
        <v>1160.74</v>
      </c>
      <c r="J85" s="95">
        <f t="shared" si="12"/>
        <v>1117.04</v>
      </c>
      <c r="K85" s="95">
        <f t="shared" si="12"/>
        <v>1307.44</v>
      </c>
      <c r="L85" s="95">
        <f t="shared" si="12"/>
        <v>1472.24</v>
      </c>
      <c r="M85" s="95">
        <f t="shared" si="12"/>
        <v>1487.3400000000001</v>
      </c>
      <c r="N85" s="95">
        <f t="shared" si="12"/>
        <v>1393.44</v>
      </c>
      <c r="O85" s="95">
        <f t="shared" si="12"/>
        <v>1349.04</v>
      </c>
      <c r="P85" s="95">
        <f t="shared" si="12"/>
        <v>1321.44</v>
      </c>
      <c r="Q85" s="95">
        <f t="shared" si="12"/>
        <v>1231.44</v>
      </c>
      <c r="R85" s="95">
        <f t="shared" si="12"/>
        <v>1293.44</v>
      </c>
      <c r="S85" s="95">
        <f t="shared" si="12"/>
        <v>1293.6399999999999</v>
      </c>
      <c r="T85" s="95">
        <f t="shared" si="12"/>
        <v>1354.6399999999999</v>
      </c>
      <c r="U85" s="95">
        <f t="shared" si="12"/>
        <v>1328.1399999999999</v>
      </c>
      <c r="V85" s="95">
        <f t="shared" si="12"/>
        <v>1341.1399999999999</v>
      </c>
      <c r="W85" s="95">
        <f t="shared" si="12"/>
        <v>1352.54</v>
      </c>
      <c r="X85" s="95">
        <f t="shared" si="12"/>
        <v>1450.54</v>
      </c>
      <c r="Y85" s="95">
        <f t="shared" si="12"/>
        <v>1571.24</v>
      </c>
      <c r="Z85" s="95">
        <f t="shared" si="12"/>
        <v>1509.24</v>
      </c>
      <c r="AA85" s="95">
        <f t="shared" si="12"/>
        <v>1495.84</v>
      </c>
      <c r="AB85" s="95">
        <f t="shared" si="12"/>
        <v>1392.6399999999999</v>
      </c>
      <c r="AC85" s="95">
        <f t="shared" si="12"/>
        <v>1291.2399999999998</v>
      </c>
      <c r="AD85" s="95">
        <f t="shared" si="12"/>
        <v>1176.54</v>
      </c>
      <c r="AE85" s="95">
        <f t="shared" si="12"/>
        <v>1162.8399999999999</v>
      </c>
      <c r="AF85" s="95">
        <f t="shared" si="12"/>
        <v>1037.3399999999999</v>
      </c>
      <c r="AG85" s="88">
        <f>AG82+AG78+AG66+AG62+AG44+AG84</f>
        <v>1466.0900000000001</v>
      </c>
      <c r="AH85" s="47">
        <f t="shared" si="8"/>
        <v>1571.24</v>
      </c>
      <c r="AI85" s="48">
        <f t="shared" si="9"/>
        <v>894.33999999999992</v>
      </c>
    </row>
    <row r="86" spans="1:37" ht="15.75" thickBot="1" x14ac:dyDescent="0.3">
      <c r="A86" s="74" t="s">
        <v>97</v>
      </c>
      <c r="B86" s="95">
        <f>B85-B93</f>
        <v>1031.3399999999999</v>
      </c>
      <c r="C86" s="95">
        <f t="shared" ref="C86:AF86" si="13">C85-C93</f>
        <v>894.33999999999992</v>
      </c>
      <c r="D86" s="95">
        <f t="shared" si="13"/>
        <v>1015.74</v>
      </c>
      <c r="E86" s="95">
        <f t="shared" si="13"/>
        <v>987.94</v>
      </c>
      <c r="F86" s="95">
        <f t="shared" si="13"/>
        <v>970.84</v>
      </c>
      <c r="G86" s="95">
        <f t="shared" si="13"/>
        <v>1015.74</v>
      </c>
      <c r="H86" s="95">
        <f t="shared" si="13"/>
        <v>1087.44</v>
      </c>
      <c r="I86" s="95">
        <f t="shared" si="13"/>
        <v>1160.74</v>
      </c>
      <c r="J86" s="95">
        <f t="shared" si="13"/>
        <v>1117.04</v>
      </c>
      <c r="K86" s="95">
        <f t="shared" si="13"/>
        <v>1307.44</v>
      </c>
      <c r="L86" s="95">
        <f t="shared" si="13"/>
        <v>1472.24</v>
      </c>
      <c r="M86" s="95">
        <f t="shared" si="13"/>
        <v>1487.3400000000001</v>
      </c>
      <c r="N86" s="95">
        <f t="shared" si="13"/>
        <v>1393.44</v>
      </c>
      <c r="O86" s="95">
        <f t="shared" si="13"/>
        <v>1349.04</v>
      </c>
      <c r="P86" s="95">
        <f t="shared" si="13"/>
        <v>1321.44</v>
      </c>
      <c r="Q86" s="95">
        <f t="shared" si="13"/>
        <v>1231.44</v>
      </c>
      <c r="R86" s="95">
        <f t="shared" si="13"/>
        <v>1293.44</v>
      </c>
      <c r="S86" s="95">
        <f t="shared" si="13"/>
        <v>1293.6399999999999</v>
      </c>
      <c r="T86" s="95">
        <f t="shared" si="13"/>
        <v>1354.6399999999999</v>
      </c>
      <c r="U86" s="95">
        <f t="shared" si="13"/>
        <v>1328.1399999999999</v>
      </c>
      <c r="V86" s="95">
        <f t="shared" si="13"/>
        <v>1341.1399999999999</v>
      </c>
      <c r="W86" s="95">
        <f t="shared" si="13"/>
        <v>1352.54</v>
      </c>
      <c r="X86" s="95">
        <f t="shared" si="13"/>
        <v>1450.54</v>
      </c>
      <c r="Y86" s="95">
        <f t="shared" si="13"/>
        <v>1571.24</v>
      </c>
      <c r="Z86" s="95">
        <f t="shared" si="13"/>
        <v>1509.24</v>
      </c>
      <c r="AA86" s="95">
        <f t="shared" si="13"/>
        <v>1495.84</v>
      </c>
      <c r="AB86" s="95">
        <f t="shared" si="13"/>
        <v>1392.6399999999999</v>
      </c>
      <c r="AC86" s="95">
        <f t="shared" si="13"/>
        <v>1291.2399999999998</v>
      </c>
      <c r="AD86" s="95">
        <f t="shared" si="13"/>
        <v>1176.54</v>
      </c>
      <c r="AE86" s="95">
        <f t="shared" si="13"/>
        <v>1162.8399999999999</v>
      </c>
      <c r="AF86" s="95">
        <f t="shared" si="13"/>
        <v>1037.3399999999999</v>
      </c>
      <c r="AG86" s="88"/>
      <c r="AH86" s="47">
        <f t="shared" si="8"/>
        <v>1571.24</v>
      </c>
      <c r="AI86" s="48">
        <f t="shared" si="9"/>
        <v>894.33999999999992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>B78-B93</f>
        <v>482.09999999999997</v>
      </c>
      <c r="C94" s="60">
        <f t="shared" ref="C94:AF94" si="14">C78-C93</f>
        <v>486.7</v>
      </c>
      <c r="D94" s="60">
        <f t="shared" si="14"/>
        <v>486.09999999999997</v>
      </c>
      <c r="E94" s="60">
        <f t="shared" si="14"/>
        <v>476.2</v>
      </c>
      <c r="F94" s="60">
        <f t="shared" si="14"/>
        <v>481.1</v>
      </c>
      <c r="G94" s="60">
        <f t="shared" si="14"/>
        <v>495</v>
      </c>
      <c r="H94" s="60">
        <f t="shared" si="14"/>
        <v>504</v>
      </c>
      <c r="I94" s="60">
        <f t="shared" si="14"/>
        <v>511.3</v>
      </c>
      <c r="J94" s="60">
        <f t="shared" si="14"/>
        <v>436.1</v>
      </c>
      <c r="K94" s="60">
        <f t="shared" si="14"/>
        <v>303.60000000000002</v>
      </c>
      <c r="L94" s="60">
        <f t="shared" si="14"/>
        <v>342</v>
      </c>
      <c r="M94" s="60">
        <f t="shared" si="14"/>
        <v>347.2</v>
      </c>
      <c r="N94" s="60">
        <f t="shared" si="14"/>
        <v>439</v>
      </c>
      <c r="O94" s="60">
        <f t="shared" si="14"/>
        <v>449</v>
      </c>
      <c r="P94" s="60">
        <f t="shared" si="14"/>
        <v>520</v>
      </c>
      <c r="Q94" s="60">
        <f t="shared" si="14"/>
        <v>474.6</v>
      </c>
      <c r="R94" s="60">
        <f t="shared" si="14"/>
        <v>500.6</v>
      </c>
      <c r="S94" s="60">
        <f t="shared" si="14"/>
        <v>515.5</v>
      </c>
      <c r="T94" s="60">
        <f t="shared" si="14"/>
        <v>522.6</v>
      </c>
      <c r="U94" s="60">
        <f t="shared" si="14"/>
        <v>518.79999999999995</v>
      </c>
      <c r="V94" s="60">
        <f t="shared" si="14"/>
        <v>531.79999999999995</v>
      </c>
      <c r="W94" s="60">
        <f t="shared" si="14"/>
        <v>516.29999999999995</v>
      </c>
      <c r="X94" s="60">
        <f t="shared" si="14"/>
        <v>515</v>
      </c>
      <c r="Y94" s="60">
        <f t="shared" si="14"/>
        <v>329</v>
      </c>
      <c r="Z94" s="60">
        <f t="shared" si="14"/>
        <v>269</v>
      </c>
      <c r="AA94" s="60">
        <f t="shared" si="14"/>
        <v>260</v>
      </c>
      <c r="AB94" s="60">
        <f t="shared" si="14"/>
        <v>359</v>
      </c>
      <c r="AC94" s="60">
        <f t="shared" si="14"/>
        <v>529</v>
      </c>
      <c r="AD94" s="60">
        <f t="shared" si="14"/>
        <v>482.3</v>
      </c>
      <c r="AE94" s="60">
        <f t="shared" si="14"/>
        <v>477.3</v>
      </c>
      <c r="AF94" s="60">
        <f t="shared" si="14"/>
        <v>461</v>
      </c>
      <c r="AG94" s="88"/>
      <c r="AH94" s="47">
        <f t="shared" si="8"/>
        <v>531.79999999999995</v>
      </c>
      <c r="AI94" s="48">
        <f t="shared" si="9"/>
        <v>260</v>
      </c>
    </row>
    <row r="95" spans="1:37" x14ac:dyDescent="0.25">
      <c r="A95" s="100" t="s">
        <v>103</v>
      </c>
      <c r="B95" s="101">
        <v>49.98</v>
      </c>
      <c r="C95" s="101">
        <v>50</v>
      </c>
      <c r="D95" s="101">
        <v>49.93</v>
      </c>
      <c r="E95" s="101">
        <v>50.058999999999997</v>
      </c>
      <c r="F95" s="101">
        <v>50.015999999999998</v>
      </c>
      <c r="G95" s="101">
        <v>49.929000000000002</v>
      </c>
      <c r="H95" s="101">
        <v>49.886000000000003</v>
      </c>
      <c r="I95" s="101">
        <v>50.012</v>
      </c>
      <c r="J95" s="101">
        <v>49.963000000000001</v>
      </c>
      <c r="K95" s="101">
        <v>49.841999999999999</v>
      </c>
      <c r="L95" s="101">
        <v>49.942999999999998</v>
      </c>
      <c r="M95" s="101">
        <v>50.034999999999997</v>
      </c>
      <c r="N95" s="101">
        <v>50.042999999999999</v>
      </c>
      <c r="O95" s="101">
        <v>49.92</v>
      </c>
      <c r="P95" s="101">
        <v>50.011000000000003</v>
      </c>
      <c r="Q95" s="101">
        <v>50.029000000000003</v>
      </c>
      <c r="R95" s="101">
        <v>50.015000000000001</v>
      </c>
      <c r="S95" s="101">
        <v>50.058999999999997</v>
      </c>
      <c r="T95" s="101">
        <v>50.021000000000001</v>
      </c>
      <c r="U95" s="101">
        <v>50</v>
      </c>
      <c r="V95" s="101">
        <v>49.96</v>
      </c>
      <c r="W95" s="101">
        <v>50.051000000000002</v>
      </c>
      <c r="X95" s="101">
        <v>50.04</v>
      </c>
      <c r="Y95" s="101">
        <v>49.91</v>
      </c>
      <c r="Z95" s="101">
        <v>49.99</v>
      </c>
      <c r="AA95" s="101">
        <v>49.97</v>
      </c>
      <c r="AB95" s="101">
        <v>50.048000000000002</v>
      </c>
      <c r="AC95" s="101">
        <v>49.97</v>
      </c>
      <c r="AD95" s="101">
        <v>49.960999999999999</v>
      </c>
      <c r="AE95" s="101">
        <v>50.042000000000002</v>
      </c>
      <c r="AF95" s="101">
        <v>49.98</v>
      </c>
      <c r="AG95" s="102"/>
      <c r="AH95" s="47">
        <f t="shared" si="8"/>
        <v>50.058999999999997</v>
      </c>
      <c r="AI95" s="48">
        <f t="shared" si="9"/>
        <v>49.841999999999999</v>
      </c>
    </row>
    <row r="96" spans="1:37" x14ac:dyDescent="0.25">
      <c r="A96" s="103" t="s">
        <v>104</v>
      </c>
      <c r="B96" s="65">
        <v>127.1</v>
      </c>
      <c r="C96" s="65">
        <v>127.6</v>
      </c>
      <c r="D96" s="65">
        <v>128.30000000000001</v>
      </c>
      <c r="E96" s="65">
        <v>127.9</v>
      </c>
      <c r="F96" s="65">
        <v>129</v>
      </c>
      <c r="G96" s="65">
        <v>127.2</v>
      </c>
      <c r="H96" s="65">
        <v>127.2</v>
      </c>
      <c r="I96" s="65">
        <v>125.8</v>
      </c>
      <c r="J96" s="65">
        <v>126.3</v>
      </c>
      <c r="K96" s="65">
        <v>127.2</v>
      </c>
      <c r="L96" s="65">
        <v>125.7</v>
      </c>
      <c r="M96" s="65">
        <v>125.4</v>
      </c>
      <c r="N96" s="65">
        <v>126.8</v>
      </c>
      <c r="O96" s="65">
        <v>126.3</v>
      </c>
      <c r="P96" s="65">
        <v>123.7</v>
      </c>
      <c r="Q96" s="65">
        <v>126.8</v>
      </c>
      <c r="R96" s="65">
        <v>126.3</v>
      </c>
      <c r="S96" s="65">
        <v>127</v>
      </c>
      <c r="T96" s="65">
        <v>126.6</v>
      </c>
      <c r="U96" s="65">
        <v>126.6</v>
      </c>
      <c r="V96" s="65">
        <v>126.6</v>
      </c>
      <c r="W96" s="65">
        <v>129</v>
      </c>
      <c r="X96" s="65">
        <v>129.6</v>
      </c>
      <c r="Y96" s="65">
        <v>129.6</v>
      </c>
      <c r="Z96" s="65">
        <v>129.6</v>
      </c>
      <c r="AA96" s="65">
        <v>129.6</v>
      </c>
      <c r="AB96" s="65">
        <v>130.6</v>
      </c>
      <c r="AC96" s="65">
        <v>129.19999999999999</v>
      </c>
      <c r="AD96" s="65">
        <v>128</v>
      </c>
      <c r="AE96" s="65">
        <v>128.1</v>
      </c>
      <c r="AF96" s="65">
        <v>129</v>
      </c>
      <c r="AG96" s="104"/>
      <c r="AH96" s="47">
        <f t="shared" si="8"/>
        <v>130.6</v>
      </c>
      <c r="AI96" s="48">
        <f t="shared" si="9"/>
        <v>123.7</v>
      </c>
    </row>
    <row r="97" spans="1:35" x14ac:dyDescent="0.25">
      <c r="A97" s="103" t="s">
        <v>105</v>
      </c>
      <c r="B97" s="65">
        <v>131.1</v>
      </c>
      <c r="C97" s="65">
        <v>132</v>
      </c>
      <c r="D97" s="65">
        <v>132.30000000000001</v>
      </c>
      <c r="E97" s="65">
        <v>132.19999999999999</v>
      </c>
      <c r="F97" s="65">
        <v>133</v>
      </c>
      <c r="G97" s="65">
        <v>130.9</v>
      </c>
      <c r="H97" s="65">
        <v>130.9</v>
      </c>
      <c r="I97" s="65">
        <v>129.30000000000001</v>
      </c>
      <c r="J97" s="65">
        <v>129.30000000000001</v>
      </c>
      <c r="K97" s="65">
        <v>129</v>
      </c>
      <c r="L97" s="65">
        <v>127.1</v>
      </c>
      <c r="M97" s="65">
        <v>127.8</v>
      </c>
      <c r="N97" s="65">
        <v>128.4</v>
      </c>
      <c r="O97" s="65">
        <v>128</v>
      </c>
      <c r="P97" s="65">
        <v>126.9</v>
      </c>
      <c r="Q97" s="65">
        <v>129.80000000000001</v>
      </c>
      <c r="R97" s="65">
        <v>129.4</v>
      </c>
      <c r="S97" s="65">
        <v>129.5</v>
      </c>
      <c r="T97" s="65">
        <v>129.69999999999999</v>
      </c>
      <c r="U97" s="65">
        <v>129.69999999999999</v>
      </c>
      <c r="V97" s="65">
        <v>129.69999999999999</v>
      </c>
      <c r="W97" s="65">
        <v>130.6</v>
      </c>
      <c r="X97" s="65">
        <v>130.80000000000001</v>
      </c>
      <c r="Y97" s="65">
        <v>130.80000000000001</v>
      </c>
      <c r="Z97" s="65">
        <v>130.80000000000001</v>
      </c>
      <c r="AA97" s="65">
        <v>130.80000000000001</v>
      </c>
      <c r="AB97" s="65">
        <v>131.69999999999999</v>
      </c>
      <c r="AC97" s="65">
        <v>130.9</v>
      </c>
      <c r="AD97" s="65">
        <v>130.30000000000001</v>
      </c>
      <c r="AE97" s="65">
        <v>131.69999999999999</v>
      </c>
      <c r="AF97" s="65">
        <v>133</v>
      </c>
      <c r="AG97" s="104"/>
      <c r="AH97" s="47">
        <f t="shared" si="8"/>
        <v>133</v>
      </c>
      <c r="AI97" s="48">
        <f t="shared" si="9"/>
        <v>126.9</v>
      </c>
    </row>
    <row r="98" spans="1:35" x14ac:dyDescent="0.25">
      <c r="A98" s="103" t="s">
        <v>106</v>
      </c>
      <c r="B98" s="65">
        <v>132</v>
      </c>
      <c r="C98" s="65">
        <v>131.4</v>
      </c>
      <c r="D98" s="65">
        <v>131.69999999999999</v>
      </c>
      <c r="E98" s="65">
        <v>132.6</v>
      </c>
      <c r="F98" s="65">
        <v>132.19999999999999</v>
      </c>
      <c r="G98" s="65">
        <v>131.19999999999999</v>
      </c>
      <c r="H98" s="65">
        <v>131.19999999999999</v>
      </c>
      <c r="I98" s="65">
        <v>131.1</v>
      </c>
      <c r="J98" s="65">
        <v>128.30000000000001</v>
      </c>
      <c r="K98" s="65">
        <v>128.1</v>
      </c>
      <c r="L98" s="65">
        <v>126.6</v>
      </c>
      <c r="M98" s="65">
        <v>127.8</v>
      </c>
      <c r="N98" s="65">
        <v>129.6</v>
      </c>
      <c r="O98" s="65">
        <v>130.9</v>
      </c>
      <c r="P98" s="65">
        <v>124.6</v>
      </c>
      <c r="Q98" s="65">
        <v>127.5</v>
      </c>
      <c r="R98" s="65">
        <v>127.1</v>
      </c>
      <c r="S98" s="65">
        <v>127</v>
      </c>
      <c r="T98" s="65">
        <v>128.9</v>
      </c>
      <c r="U98" s="65">
        <v>128.9</v>
      </c>
      <c r="V98" s="65">
        <v>128.9</v>
      </c>
      <c r="W98" s="65">
        <v>129</v>
      </c>
      <c r="X98" s="65">
        <v>128</v>
      </c>
      <c r="Y98" s="65">
        <v>128</v>
      </c>
      <c r="Z98" s="65">
        <v>128</v>
      </c>
      <c r="AA98" s="65">
        <v>128</v>
      </c>
      <c r="AB98" s="65">
        <v>132.1</v>
      </c>
      <c r="AC98" s="65">
        <v>129.6</v>
      </c>
      <c r="AD98" s="65">
        <v>130.1</v>
      </c>
      <c r="AE98" s="65">
        <v>131.1</v>
      </c>
      <c r="AF98" s="65">
        <v>129</v>
      </c>
      <c r="AG98" s="104"/>
      <c r="AH98" s="47">
        <f t="shared" si="8"/>
        <v>132.6</v>
      </c>
      <c r="AI98" s="48">
        <f t="shared" si="9"/>
        <v>124.6</v>
      </c>
    </row>
    <row r="99" spans="1:35" x14ac:dyDescent="0.25">
      <c r="A99" s="105" t="s">
        <v>107</v>
      </c>
      <c r="B99" s="65">
        <v>133.69999999999999</v>
      </c>
      <c r="C99" s="65">
        <v>132.5</v>
      </c>
      <c r="D99" s="65">
        <v>132.30000000000001</v>
      </c>
      <c r="E99" s="65">
        <v>133.9</v>
      </c>
      <c r="F99" s="65">
        <v>133.5</v>
      </c>
      <c r="G99" s="65">
        <v>132.69999999999999</v>
      </c>
      <c r="H99" s="65">
        <v>132.69999999999999</v>
      </c>
      <c r="I99" s="65">
        <v>132.80000000000001</v>
      </c>
      <c r="J99" s="65">
        <v>129.30000000000001</v>
      </c>
      <c r="K99" s="65">
        <v>131.1</v>
      </c>
      <c r="L99" s="65">
        <v>128.69999999999999</v>
      </c>
      <c r="M99" s="65">
        <v>129.5</v>
      </c>
      <c r="N99" s="65">
        <v>131.6</v>
      </c>
      <c r="O99" s="65">
        <v>130</v>
      </c>
      <c r="P99" s="65">
        <v>126.6</v>
      </c>
      <c r="Q99" s="65">
        <v>131.80000000000001</v>
      </c>
      <c r="R99" s="65">
        <v>130.80000000000001</v>
      </c>
      <c r="S99" s="65">
        <v>130.30000000000001</v>
      </c>
      <c r="T99" s="65">
        <v>131.69999999999999</v>
      </c>
      <c r="U99" s="65">
        <v>131.69999999999999</v>
      </c>
      <c r="V99" s="65">
        <v>131.69999999999999</v>
      </c>
      <c r="W99" s="65">
        <v>131.6</v>
      </c>
      <c r="X99" s="65">
        <v>130</v>
      </c>
      <c r="Y99" s="65">
        <v>130</v>
      </c>
      <c r="Z99" s="65">
        <v>130</v>
      </c>
      <c r="AA99" s="65">
        <v>130</v>
      </c>
      <c r="AB99" s="65">
        <v>133.19999999999999</v>
      </c>
      <c r="AC99" s="65">
        <v>131.19999999999999</v>
      </c>
      <c r="AD99" s="65">
        <v>132</v>
      </c>
      <c r="AE99" s="65">
        <v>133.30000000000001</v>
      </c>
      <c r="AF99" s="65">
        <v>132.4</v>
      </c>
      <c r="AG99" s="104"/>
      <c r="AH99" s="47">
        <f t="shared" si="8"/>
        <v>133.9</v>
      </c>
      <c r="AI99" s="48">
        <f t="shared" si="9"/>
        <v>126.6</v>
      </c>
    </row>
    <row r="100" spans="1:35" x14ac:dyDescent="0.25">
      <c r="A100" s="105" t="s">
        <v>108</v>
      </c>
      <c r="B100" s="106">
        <v>133.19999999999999</v>
      </c>
      <c r="C100" s="106">
        <v>133.19999999999999</v>
      </c>
      <c r="D100" s="106">
        <v>134.6</v>
      </c>
      <c r="E100" s="106">
        <v>133</v>
      </c>
      <c r="F100" s="106">
        <v>134.9</v>
      </c>
      <c r="G100" s="106">
        <v>132.19999999999999</v>
      </c>
      <c r="H100" s="106">
        <v>132.19999999999999</v>
      </c>
      <c r="I100" s="106">
        <v>131.9</v>
      </c>
      <c r="J100" s="106">
        <v>132.9</v>
      </c>
      <c r="K100" s="106">
        <v>134.9</v>
      </c>
      <c r="L100" s="106">
        <v>132.6</v>
      </c>
      <c r="M100" s="106">
        <v>132.4</v>
      </c>
      <c r="N100" s="106">
        <v>133.5</v>
      </c>
      <c r="O100" s="106">
        <v>132.1</v>
      </c>
      <c r="P100" s="106">
        <v>131.19999999999999</v>
      </c>
      <c r="Q100" s="106">
        <v>137</v>
      </c>
      <c r="R100" s="106">
        <v>134.30000000000001</v>
      </c>
      <c r="S100" s="106">
        <v>133.69999999999999</v>
      </c>
      <c r="T100" s="106">
        <v>133.69999999999999</v>
      </c>
      <c r="U100" s="106">
        <v>133.69999999999999</v>
      </c>
      <c r="V100" s="106">
        <v>133.69999999999999</v>
      </c>
      <c r="W100" s="106">
        <v>131.69999999999999</v>
      </c>
      <c r="X100" s="106">
        <v>135.4</v>
      </c>
      <c r="Y100" s="106">
        <v>135.4</v>
      </c>
      <c r="Z100" s="106">
        <v>135.4</v>
      </c>
      <c r="AA100" s="106">
        <v>135.4</v>
      </c>
      <c r="AB100" s="106">
        <v>136.5</v>
      </c>
      <c r="AC100" s="106">
        <v>133.6</v>
      </c>
      <c r="AD100" s="106">
        <v>132</v>
      </c>
      <c r="AE100" s="106">
        <v>131.4</v>
      </c>
      <c r="AF100" s="106">
        <v>134.30000000000001</v>
      </c>
      <c r="AG100" s="107"/>
      <c r="AH100" s="47">
        <f t="shared" si="8"/>
        <v>137</v>
      </c>
      <c r="AI100" s="48">
        <f t="shared" si="9"/>
        <v>131.19999999999999</v>
      </c>
    </row>
    <row r="101" spans="1:35" x14ac:dyDescent="0.25">
      <c r="A101" s="103" t="s">
        <v>109</v>
      </c>
      <c r="B101" s="65">
        <v>130</v>
      </c>
      <c r="C101" s="65">
        <v>134.5</v>
      </c>
      <c r="D101" s="65">
        <v>132.19999999999999</v>
      </c>
      <c r="E101" s="65">
        <v>137.6</v>
      </c>
      <c r="F101" s="65">
        <v>127.3</v>
      </c>
      <c r="G101" s="65">
        <v>128.30000000000001</v>
      </c>
      <c r="H101" s="65">
        <v>128.30000000000001</v>
      </c>
      <c r="I101" s="65">
        <v>133.9</v>
      </c>
      <c r="J101" s="65"/>
      <c r="K101" s="65">
        <v>132.19999999999999</v>
      </c>
      <c r="L101" s="65">
        <v>125.4</v>
      </c>
      <c r="M101" s="65">
        <v>130.6</v>
      </c>
      <c r="N101" s="65">
        <v>128</v>
      </c>
      <c r="O101" s="65">
        <v>130.1</v>
      </c>
      <c r="P101" s="65">
        <v>126.4</v>
      </c>
      <c r="Q101" s="65">
        <v>134</v>
      </c>
      <c r="R101" s="65">
        <v>129.5</v>
      </c>
      <c r="S101" s="65">
        <v>123</v>
      </c>
      <c r="T101" s="65">
        <v>126.3</v>
      </c>
      <c r="U101" s="65">
        <v>126.3</v>
      </c>
      <c r="V101" s="65">
        <v>126.3</v>
      </c>
      <c r="W101" s="65">
        <v>128.9</v>
      </c>
      <c r="X101" s="65">
        <v>130.1</v>
      </c>
      <c r="Y101" s="65">
        <v>130.1</v>
      </c>
      <c r="Z101" s="65">
        <v>130.1</v>
      </c>
      <c r="AA101" s="65">
        <v>130.1</v>
      </c>
      <c r="AB101" s="65">
        <v>134.1</v>
      </c>
      <c r="AC101" s="65">
        <v>131.80000000000001</v>
      </c>
      <c r="AD101" s="65">
        <v>129</v>
      </c>
      <c r="AE101" s="65">
        <v>132.4</v>
      </c>
      <c r="AF101" s="65">
        <v>136.19999999999999</v>
      </c>
      <c r="AG101" s="104"/>
      <c r="AH101" s="47">
        <f t="shared" si="8"/>
        <v>137.6</v>
      </c>
      <c r="AI101" s="48">
        <f t="shared" si="9"/>
        <v>123</v>
      </c>
    </row>
    <row r="102" spans="1:35" ht="15.75" thickBot="1" x14ac:dyDescent="0.3">
      <c r="A102" s="103" t="s">
        <v>110</v>
      </c>
      <c r="B102" s="92">
        <v>66</v>
      </c>
      <c r="C102" s="92">
        <v>66.2</v>
      </c>
      <c r="D102" s="92">
        <v>66.5</v>
      </c>
      <c r="E102" s="92">
        <v>66.400000000000006</v>
      </c>
      <c r="F102" s="92">
        <v>66.7</v>
      </c>
      <c r="G102" s="92">
        <v>65.900000000000006</v>
      </c>
      <c r="H102" s="92">
        <v>65.900000000000006</v>
      </c>
      <c r="I102" s="92">
        <v>65</v>
      </c>
      <c r="J102" s="92">
        <v>64.8</v>
      </c>
      <c r="K102" s="92">
        <v>64.3</v>
      </c>
      <c r="L102" s="92">
        <v>63.4</v>
      </c>
      <c r="M102" s="92">
        <v>63.6</v>
      </c>
      <c r="N102" s="92">
        <v>64.5</v>
      </c>
      <c r="O102" s="92">
        <v>64.099999999999994</v>
      </c>
      <c r="P102" s="92">
        <v>63.4</v>
      </c>
      <c r="Q102" s="92">
        <v>65</v>
      </c>
      <c r="R102" s="92">
        <v>65</v>
      </c>
      <c r="S102" s="92">
        <v>65</v>
      </c>
      <c r="T102" s="92">
        <v>65</v>
      </c>
      <c r="U102" s="92">
        <v>65</v>
      </c>
      <c r="V102" s="92">
        <v>65</v>
      </c>
      <c r="W102" s="92">
        <v>65.5</v>
      </c>
      <c r="X102" s="92">
        <v>65.5</v>
      </c>
      <c r="Y102" s="92">
        <v>65.5</v>
      </c>
      <c r="Z102" s="92">
        <v>65.5</v>
      </c>
      <c r="AA102" s="92">
        <v>65.5</v>
      </c>
      <c r="AB102" s="92">
        <v>66</v>
      </c>
      <c r="AC102" s="92">
        <v>65.599999999999994</v>
      </c>
      <c r="AD102" s="92">
        <v>66</v>
      </c>
      <c r="AE102" s="92">
        <v>66.2</v>
      </c>
      <c r="AF102" s="92">
        <v>67</v>
      </c>
      <c r="AG102" s="108"/>
      <c r="AH102" s="47">
        <f t="shared" si="8"/>
        <v>67</v>
      </c>
      <c r="AI102" s="48">
        <f t="shared" si="9"/>
        <v>63.4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>SUM(B16,B22,B25:B26,B52,B54:B55,B57,B59,B105:B109,B131,B137,B143,B152,B154,B166,B173,B176:B177,B184,B186,B188,B192:B194,B196:B198,B203,B209:B210,B212:B214,B222,B227)</f>
        <v>140</v>
      </c>
      <c r="C104" s="111">
        <f>SUM(C16,C22,C25:C26,C52,C54:C55,C57,C59,C105:C109,C131,C137,C143,C152,C154,C166,C173,C176:C177,C184,C186,C188,C192:C194,C196:C198,C203,C209:C210,C212:C214,C222,C227)</f>
        <v>97.84</v>
      </c>
      <c r="D104" s="111">
        <f t="shared" ref="D104:AF104" si="15">SUM(D16,D22,D25:D26,D52,D54:D55,D57,D59,D105:D109,D131,D137,D143,D152,D154,D166,D173,D176:D177,D184,D186,D188,D192:D194,D196:D198,D203,D209:D210,D212:D214,D222,D227)</f>
        <v>135.23999999999998</v>
      </c>
      <c r="E104" s="111">
        <f t="shared" si="15"/>
        <v>125.44</v>
      </c>
      <c r="F104" s="111">
        <f>SUM(F16,F22,F25:F26,F52,F54:F55,F57,F59,F105:F109,F131,F137,F143,F152,F154,F166,F173,F176:F177,F184,F186,F188,F192:F194,F196:F198,F203,F209:F210,F212:F214,F222,F227)</f>
        <v>129.04</v>
      </c>
      <c r="G104" s="111">
        <f>SUM(G16,G22,G25:G26,G52,G54:G55,G57,G59,G105:G109,G131,G137,G143,G152,G154,G166,G173,G176:G177,G184,G186,G188,G192:G194,G196:G198,G203,G209:G210,G212:G214,G222,G227)</f>
        <v>144.54</v>
      </c>
      <c r="H104" s="111">
        <f t="shared" si="15"/>
        <v>144.54</v>
      </c>
      <c r="I104" s="111">
        <f t="shared" si="15"/>
        <v>225.14</v>
      </c>
      <c r="J104" s="111">
        <f t="shared" si="15"/>
        <v>248.53999999999996</v>
      </c>
      <c r="K104" s="111">
        <f t="shared" si="15"/>
        <v>303.23999999999995</v>
      </c>
      <c r="L104" s="111">
        <f t="shared" si="15"/>
        <v>341.34</v>
      </c>
      <c r="M104" s="111">
        <f t="shared" si="15"/>
        <v>344.53999999999996</v>
      </c>
      <c r="N104" s="111">
        <f t="shared" si="15"/>
        <v>335.64</v>
      </c>
      <c r="O104" s="111">
        <f t="shared" si="15"/>
        <v>325.74</v>
      </c>
      <c r="P104" s="111">
        <v>42</v>
      </c>
      <c r="Q104" s="111">
        <f t="shared" si="15"/>
        <v>281.7</v>
      </c>
      <c r="R104" s="111">
        <f t="shared" si="15"/>
        <v>267.5</v>
      </c>
      <c r="S104" s="111">
        <f t="shared" si="15"/>
        <v>266</v>
      </c>
      <c r="T104" s="111">
        <f t="shared" si="15"/>
        <v>260.3</v>
      </c>
      <c r="U104" s="111">
        <f t="shared" si="15"/>
        <v>267.7</v>
      </c>
      <c r="V104" s="111">
        <f t="shared" si="15"/>
        <v>269.2</v>
      </c>
      <c r="W104" s="111">
        <f t="shared" si="15"/>
        <v>306.2</v>
      </c>
      <c r="X104" s="111">
        <f t="shared" si="15"/>
        <v>309.29999999999995</v>
      </c>
      <c r="Y104" s="111">
        <f t="shared" si="15"/>
        <v>347</v>
      </c>
      <c r="Z104" s="111">
        <f t="shared" si="15"/>
        <v>351</v>
      </c>
      <c r="AA104" s="111">
        <f t="shared" si="15"/>
        <v>349</v>
      </c>
      <c r="AB104" s="111">
        <f t="shared" si="15"/>
        <v>329.9</v>
      </c>
      <c r="AC104" s="111">
        <f t="shared" si="15"/>
        <v>313.5</v>
      </c>
      <c r="AD104" s="111">
        <f t="shared" si="15"/>
        <v>287</v>
      </c>
      <c r="AE104" s="111">
        <f t="shared" si="15"/>
        <v>220.4</v>
      </c>
      <c r="AF104" s="111">
        <f t="shared" si="15"/>
        <v>161.5</v>
      </c>
      <c r="AG104" s="112"/>
      <c r="AH104" s="47">
        <f t="shared" si="8"/>
        <v>351</v>
      </c>
      <c r="AI104" s="48">
        <f t="shared" si="9"/>
        <v>42</v>
      </c>
    </row>
    <row r="105" spans="1:35" x14ac:dyDescent="0.25">
      <c r="A105" s="100" t="s">
        <v>113</v>
      </c>
      <c r="B105" s="113">
        <v>-15</v>
      </c>
      <c r="C105" s="113">
        <v>-14</v>
      </c>
      <c r="D105" s="113">
        <v>-15</v>
      </c>
      <c r="E105" s="113">
        <v>-17</v>
      </c>
      <c r="F105" s="113">
        <v>-16.399999999999999</v>
      </c>
      <c r="G105" s="113">
        <v>-12.1</v>
      </c>
      <c r="H105" s="113">
        <v>-12.1</v>
      </c>
      <c r="I105" s="113">
        <v>3.8</v>
      </c>
      <c r="J105" s="113">
        <v>8.5</v>
      </c>
      <c r="K105" s="113">
        <v>17.399999999999999</v>
      </c>
      <c r="L105" s="113">
        <v>16.399999999999999</v>
      </c>
      <c r="M105" s="113">
        <v>16.3</v>
      </c>
      <c r="N105" s="113">
        <v>27.1</v>
      </c>
      <c r="O105" s="113">
        <v>22.7</v>
      </c>
      <c r="P105" s="113">
        <v>27</v>
      </c>
      <c r="Q105" s="113">
        <v>23.8</v>
      </c>
      <c r="R105" s="113">
        <v>15.3</v>
      </c>
      <c r="S105" s="113">
        <v>5.9</v>
      </c>
      <c r="T105" s="113">
        <v>5.8</v>
      </c>
      <c r="U105" s="113">
        <v>6</v>
      </c>
      <c r="V105" s="113">
        <v>6.5</v>
      </c>
      <c r="W105" s="113">
        <v>0</v>
      </c>
      <c r="X105" s="113">
        <v>17</v>
      </c>
      <c r="Y105" s="113">
        <v>29</v>
      </c>
      <c r="Z105" s="113">
        <v>25</v>
      </c>
      <c r="AA105" s="113">
        <v>25</v>
      </c>
      <c r="AB105" s="113">
        <v>20.3</v>
      </c>
      <c r="AC105" s="113">
        <v>16.5</v>
      </c>
      <c r="AD105" s="113">
        <v>13</v>
      </c>
      <c r="AE105" s="113">
        <v>6.7</v>
      </c>
      <c r="AF105" s="113">
        <v>-3.3</v>
      </c>
      <c r="AG105" s="114">
        <v>75</v>
      </c>
      <c r="AH105" s="47">
        <f t="shared" si="8"/>
        <v>29</v>
      </c>
      <c r="AI105" s="48">
        <f t="shared" si="9"/>
        <v>-17</v>
      </c>
    </row>
    <row r="106" spans="1:35" x14ac:dyDescent="0.25">
      <c r="A106" s="103" t="s">
        <v>114</v>
      </c>
      <c r="B106" s="115">
        <v>-18.7</v>
      </c>
      <c r="C106" s="115">
        <v>-18.399999999999999</v>
      </c>
      <c r="D106" s="115">
        <v>-20.100000000000001</v>
      </c>
      <c r="E106" s="115">
        <v>-21.3</v>
      </c>
      <c r="F106" s="115">
        <v>-23</v>
      </c>
      <c r="G106" s="115">
        <v>-18.7</v>
      </c>
      <c r="H106" s="115">
        <v>-18.7</v>
      </c>
      <c r="I106" s="115">
        <v>1.2</v>
      </c>
      <c r="J106" s="115">
        <v>6.3</v>
      </c>
      <c r="K106" s="115">
        <v>18.3</v>
      </c>
      <c r="L106" s="115">
        <v>14.2</v>
      </c>
      <c r="M106" s="115">
        <v>14.5</v>
      </c>
      <c r="N106" s="115">
        <v>33.4</v>
      </c>
      <c r="O106" s="115">
        <v>28.3</v>
      </c>
      <c r="P106" s="115">
        <v>35.1</v>
      </c>
      <c r="Q106" s="115">
        <v>32.1</v>
      </c>
      <c r="R106" s="115">
        <v>19.2</v>
      </c>
      <c r="S106" s="115">
        <v>6.1</v>
      </c>
      <c r="T106" s="115">
        <v>5.4</v>
      </c>
      <c r="U106" s="115">
        <v>8</v>
      </c>
      <c r="V106" s="115">
        <v>7</v>
      </c>
      <c r="W106" s="115">
        <v>-4.9000000000000004</v>
      </c>
      <c r="X106" s="115">
        <v>18.399999999999999</v>
      </c>
      <c r="Y106" s="115">
        <v>34</v>
      </c>
      <c r="Z106" s="115">
        <v>28</v>
      </c>
      <c r="AA106" s="115">
        <v>29</v>
      </c>
      <c r="AB106" s="115">
        <v>19</v>
      </c>
      <c r="AC106" s="115">
        <v>15</v>
      </c>
      <c r="AD106" s="115">
        <v>14</v>
      </c>
      <c r="AE106" s="115">
        <v>7.2</v>
      </c>
      <c r="AF106" s="115">
        <v>-4.7</v>
      </c>
      <c r="AG106" s="114">
        <v>240</v>
      </c>
      <c r="AH106" s="47">
        <f t="shared" si="8"/>
        <v>35.1</v>
      </c>
      <c r="AI106" s="48">
        <f t="shared" si="9"/>
        <v>-23</v>
      </c>
    </row>
    <row r="107" spans="1:35" x14ac:dyDescent="0.25">
      <c r="A107" s="103" t="s">
        <v>115</v>
      </c>
      <c r="B107" s="115">
        <f>-12.6-13.9</f>
        <v>-26.5</v>
      </c>
      <c r="C107" s="115">
        <v>-27.1</v>
      </c>
      <c r="D107" s="115">
        <f>-13.3-14.4</f>
        <v>-27.700000000000003</v>
      </c>
      <c r="E107" s="115">
        <v>-26.9</v>
      </c>
      <c r="F107" s="115">
        <v>-22.6</v>
      </c>
      <c r="G107" s="115">
        <v>-20.8</v>
      </c>
      <c r="H107" s="115">
        <v>-20.8</v>
      </c>
      <c r="I107" s="115">
        <v>-1.1000000000000001</v>
      </c>
      <c r="J107" s="115">
        <v>-5.4</v>
      </c>
      <c r="K107" s="115">
        <v>15.1</v>
      </c>
      <c r="L107" s="115">
        <v>77.2</v>
      </c>
      <c r="M107" s="115">
        <v>77.7</v>
      </c>
      <c r="N107" s="115">
        <f>20+22</f>
        <v>42</v>
      </c>
      <c r="O107" s="115">
        <f>21.6+23.1</f>
        <v>44.7</v>
      </c>
      <c r="P107" s="115">
        <v>19.8</v>
      </c>
      <c r="Q107" s="115">
        <v>1.2</v>
      </c>
      <c r="R107" s="115">
        <f>3.6-1.2</f>
        <v>2.4000000000000004</v>
      </c>
      <c r="S107" s="115">
        <v>4.5</v>
      </c>
      <c r="T107" s="115">
        <v>9.3000000000000007</v>
      </c>
      <c r="U107" s="115">
        <v>10</v>
      </c>
      <c r="V107" s="115">
        <v>11</v>
      </c>
      <c r="W107" s="115">
        <v>58.5</v>
      </c>
      <c r="X107" s="115">
        <v>30</v>
      </c>
      <c r="Y107" s="115">
        <v>32</v>
      </c>
      <c r="Z107" s="115">
        <v>65</v>
      </c>
      <c r="AA107" s="115">
        <v>63</v>
      </c>
      <c r="AB107" s="115">
        <v>78</v>
      </c>
      <c r="AC107" s="115">
        <v>49</v>
      </c>
      <c r="AD107" s="115">
        <v>27</v>
      </c>
      <c r="AE107" s="115">
        <v>-12</v>
      </c>
      <c r="AF107" s="115">
        <v>-25</v>
      </c>
      <c r="AG107" s="114">
        <v>240</v>
      </c>
      <c r="AH107" s="47">
        <f t="shared" si="8"/>
        <v>78</v>
      </c>
      <c r="AI107" s="48">
        <f t="shared" si="9"/>
        <v>-27.700000000000003</v>
      </c>
    </row>
    <row r="108" spans="1:35" x14ac:dyDescent="0.25">
      <c r="A108" s="103" t="s">
        <v>116</v>
      </c>
      <c r="B108" s="115">
        <v>1.4</v>
      </c>
      <c r="C108" s="115">
        <v>-0.8</v>
      </c>
      <c r="D108" s="115">
        <v>-1.8</v>
      </c>
      <c r="E108" s="115">
        <v>-1.3</v>
      </c>
      <c r="F108" s="115">
        <v>-2.2999999999999998</v>
      </c>
      <c r="G108" s="115">
        <v>0</v>
      </c>
      <c r="H108" s="115">
        <v>0</v>
      </c>
      <c r="I108" s="115">
        <v>8.5</v>
      </c>
      <c r="J108" s="115">
        <v>24.7</v>
      </c>
      <c r="K108" s="115">
        <v>32.6</v>
      </c>
      <c r="L108" s="115">
        <v>42.9</v>
      </c>
      <c r="M108" s="115">
        <v>43.1</v>
      </c>
      <c r="N108" s="115">
        <v>19.600000000000001</v>
      </c>
      <c r="O108" s="115">
        <v>17.899999999999999</v>
      </c>
      <c r="P108" s="115">
        <v>6.4</v>
      </c>
      <c r="Q108" s="115">
        <v>21.4</v>
      </c>
      <c r="R108" s="115">
        <v>23.5</v>
      </c>
      <c r="S108" s="115">
        <v>37.799999999999997</v>
      </c>
      <c r="T108" s="115">
        <v>38.799999999999997</v>
      </c>
      <c r="U108" s="115">
        <v>37</v>
      </c>
      <c r="V108" s="115">
        <v>36</v>
      </c>
      <c r="W108" s="115">
        <v>39.200000000000003</v>
      </c>
      <c r="X108" s="115">
        <v>50</v>
      </c>
      <c r="Y108" s="115">
        <v>57</v>
      </c>
      <c r="Z108" s="115">
        <v>48</v>
      </c>
      <c r="AA108" s="115">
        <v>47</v>
      </c>
      <c r="AB108" s="115">
        <v>39.1</v>
      </c>
      <c r="AC108" s="115">
        <v>30</v>
      </c>
      <c r="AD108" s="115">
        <v>25</v>
      </c>
      <c r="AE108" s="115">
        <v>23</v>
      </c>
      <c r="AF108" s="115">
        <v>14</v>
      </c>
      <c r="AG108" s="114">
        <v>60</v>
      </c>
      <c r="AH108" s="47">
        <f t="shared" si="8"/>
        <v>57</v>
      </c>
      <c r="AI108" s="48">
        <f t="shared" si="9"/>
        <v>-2.2999999999999998</v>
      </c>
    </row>
    <row r="109" spans="1:35" x14ac:dyDescent="0.25">
      <c r="A109" s="116" t="s">
        <v>117</v>
      </c>
      <c r="B109" s="117">
        <v>95.7</v>
      </c>
      <c r="C109" s="117">
        <v>98.7</v>
      </c>
      <c r="D109" s="117">
        <v>96</v>
      </c>
      <c r="E109" s="117">
        <v>88.1</v>
      </c>
      <c r="F109" s="117">
        <v>89.5</v>
      </c>
      <c r="G109" s="117">
        <v>92.3</v>
      </c>
      <c r="H109" s="117">
        <v>92.3</v>
      </c>
      <c r="I109" s="117">
        <v>108.9</v>
      </c>
      <c r="J109" s="117">
        <v>110.6</v>
      </c>
      <c r="K109" s="117">
        <v>116</v>
      </c>
      <c r="L109" s="117">
        <v>86.8</v>
      </c>
      <c r="M109" s="117">
        <v>89.1</v>
      </c>
      <c r="N109" s="117">
        <v>105</v>
      </c>
      <c r="O109" s="117">
        <v>103.6</v>
      </c>
      <c r="P109" s="117">
        <v>104.8</v>
      </c>
      <c r="Q109" s="117">
        <v>95.6</v>
      </c>
      <c r="R109" s="117">
        <v>99.5</v>
      </c>
      <c r="S109" s="117">
        <v>104</v>
      </c>
      <c r="T109" s="117">
        <v>93.3</v>
      </c>
      <c r="U109" s="117">
        <v>99</v>
      </c>
      <c r="V109" s="117">
        <v>101</v>
      </c>
      <c r="W109" s="117">
        <v>105.7</v>
      </c>
      <c r="X109" s="117">
        <v>96</v>
      </c>
      <c r="Y109" s="117">
        <v>100</v>
      </c>
      <c r="Z109" s="117">
        <v>90</v>
      </c>
      <c r="AA109" s="117">
        <v>90</v>
      </c>
      <c r="AB109" s="117">
        <v>78.5</v>
      </c>
      <c r="AC109" s="117">
        <v>108</v>
      </c>
      <c r="AD109" s="117">
        <v>113</v>
      </c>
      <c r="AE109" s="117">
        <v>98</v>
      </c>
      <c r="AF109" s="117">
        <v>83</v>
      </c>
      <c r="AG109" s="118">
        <v>120</v>
      </c>
      <c r="AH109" s="47">
        <f t="shared" si="8"/>
        <v>116</v>
      </c>
      <c r="AI109" s="48">
        <f t="shared" si="9"/>
        <v>78.5</v>
      </c>
    </row>
    <row r="110" spans="1:35" x14ac:dyDescent="0.25">
      <c r="A110" s="116" t="s">
        <v>118</v>
      </c>
      <c r="B110" s="117">
        <v>101.4</v>
      </c>
      <c r="C110" s="117">
        <v>102.6</v>
      </c>
      <c r="D110" s="117">
        <v>100.8</v>
      </c>
      <c r="E110" s="117">
        <v>94.6</v>
      </c>
      <c r="F110" s="117">
        <v>92.8</v>
      </c>
      <c r="G110" s="117">
        <v>95.2</v>
      </c>
      <c r="H110" s="117">
        <v>95.2</v>
      </c>
      <c r="I110" s="117">
        <v>103.1</v>
      </c>
      <c r="J110" s="117">
        <v>94.5</v>
      </c>
      <c r="K110" s="117">
        <v>84</v>
      </c>
      <c r="L110" s="117">
        <v>103.4</v>
      </c>
      <c r="M110" s="117">
        <v>103.5</v>
      </c>
      <c r="N110" s="117">
        <v>74</v>
      </c>
      <c r="O110" s="117">
        <v>73.900000000000006</v>
      </c>
      <c r="P110" s="117">
        <v>88.1</v>
      </c>
      <c r="Q110" s="117">
        <v>91</v>
      </c>
      <c r="R110" s="117">
        <v>95.5</v>
      </c>
      <c r="S110" s="117">
        <v>100.3</v>
      </c>
      <c r="T110" s="117">
        <v>87.9</v>
      </c>
      <c r="U110" s="117">
        <v>95</v>
      </c>
      <c r="V110" s="117">
        <v>89</v>
      </c>
      <c r="W110" s="117">
        <v>75.599999999999994</v>
      </c>
      <c r="X110" s="117">
        <v>64</v>
      </c>
      <c r="Y110" s="117">
        <v>60</v>
      </c>
      <c r="Z110" s="117">
        <v>92</v>
      </c>
      <c r="AA110" s="117">
        <v>91</v>
      </c>
      <c r="AB110" s="117">
        <v>85</v>
      </c>
      <c r="AC110" s="117">
        <v>82</v>
      </c>
      <c r="AD110" s="117">
        <v>96</v>
      </c>
      <c r="AE110" s="117">
        <v>100</v>
      </c>
      <c r="AF110" s="117">
        <v>88</v>
      </c>
      <c r="AG110" s="118"/>
      <c r="AH110" s="47">
        <f t="shared" si="8"/>
        <v>103.5</v>
      </c>
      <c r="AI110" s="48">
        <f t="shared" si="9"/>
        <v>60</v>
      </c>
    </row>
    <row r="111" spans="1:35" x14ac:dyDescent="0.25">
      <c r="A111" s="116" t="s">
        <v>119</v>
      </c>
      <c r="B111" s="117">
        <v>45.5</v>
      </c>
      <c r="C111" s="117">
        <v>45.9</v>
      </c>
      <c r="D111" s="117">
        <v>48.7</v>
      </c>
      <c r="E111" s="117">
        <v>48.2</v>
      </c>
      <c r="F111" s="117">
        <v>41.8</v>
      </c>
      <c r="G111" s="117">
        <v>41.2</v>
      </c>
      <c r="H111" s="117">
        <v>41.2</v>
      </c>
      <c r="I111" s="117">
        <v>28.5</v>
      </c>
      <c r="J111" s="117">
        <v>22.8</v>
      </c>
      <c r="K111" s="117">
        <v>17</v>
      </c>
      <c r="L111" s="117">
        <v>22.4</v>
      </c>
      <c r="M111" s="117">
        <v>20.7</v>
      </c>
      <c r="N111" s="117">
        <v>19</v>
      </c>
      <c r="O111" s="117">
        <v>25.2</v>
      </c>
      <c r="P111" s="117">
        <v>19.100000000000001</v>
      </c>
      <c r="Q111" s="117">
        <v>19.399999999999999</v>
      </c>
      <c r="R111" s="117">
        <v>27.8</v>
      </c>
      <c r="S111" s="117">
        <v>30.74</v>
      </c>
      <c r="T111" s="117">
        <v>26.5</v>
      </c>
      <c r="U111" s="117">
        <v>26.5</v>
      </c>
      <c r="V111" s="117">
        <v>26</v>
      </c>
      <c r="W111" s="117">
        <v>19.399999999999999</v>
      </c>
      <c r="X111" s="117">
        <v>12.4</v>
      </c>
      <c r="Y111" s="117">
        <v>13</v>
      </c>
      <c r="Z111" s="117">
        <v>27</v>
      </c>
      <c r="AA111" s="117">
        <v>28</v>
      </c>
      <c r="AB111" s="117">
        <v>20.100000000000001</v>
      </c>
      <c r="AC111" s="117">
        <v>27</v>
      </c>
      <c r="AD111" s="117">
        <v>28</v>
      </c>
      <c r="AE111" s="117">
        <v>33</v>
      </c>
      <c r="AF111" s="117">
        <v>36</v>
      </c>
      <c r="AG111" s="119"/>
      <c r="AH111" s="47">
        <f t="shared" si="8"/>
        <v>48.7</v>
      </c>
      <c r="AI111" s="48">
        <f t="shared" si="9"/>
        <v>12.4</v>
      </c>
    </row>
    <row r="112" spans="1:35" x14ac:dyDescent="0.25">
      <c r="A112" s="120" t="s">
        <v>120</v>
      </c>
      <c r="B112" s="106">
        <v>8.9</v>
      </c>
      <c r="C112" s="106">
        <v>9.1</v>
      </c>
      <c r="D112" s="106">
        <v>9.1999999999999993</v>
      </c>
      <c r="E112" s="106">
        <v>9.8000000000000007</v>
      </c>
      <c r="F112" s="106">
        <v>10.1</v>
      </c>
      <c r="G112" s="106">
        <v>6.8</v>
      </c>
      <c r="H112" s="106">
        <v>6.8</v>
      </c>
      <c r="I112" s="106">
        <v>-16.2</v>
      </c>
      <c r="J112" s="106">
        <v>-32.299999999999997</v>
      </c>
      <c r="K112" s="106">
        <v>-46.2</v>
      </c>
      <c r="L112" s="106">
        <v>-63</v>
      </c>
      <c r="M112" s="106">
        <v>-61.5</v>
      </c>
      <c r="N112" s="106">
        <v>-45.3</v>
      </c>
      <c r="O112" s="106">
        <v>-33.4</v>
      </c>
      <c r="P112" s="106">
        <v>-42.7</v>
      </c>
      <c r="Q112" s="106">
        <v>-26.1</v>
      </c>
      <c r="R112" s="106">
        <v>-18.7</v>
      </c>
      <c r="S112" s="106">
        <v>-29.1</v>
      </c>
      <c r="T112" s="106">
        <v>-33.200000000000003</v>
      </c>
      <c r="U112" s="106">
        <v>-36</v>
      </c>
      <c r="V112" s="106">
        <v>-39</v>
      </c>
      <c r="W112" s="106">
        <v>-51</v>
      </c>
      <c r="X112" s="106">
        <v>68.599999999999994</v>
      </c>
      <c r="Y112" s="106">
        <v>69</v>
      </c>
      <c r="Z112" s="106">
        <v>47</v>
      </c>
      <c r="AA112" s="106">
        <v>42</v>
      </c>
      <c r="AB112" s="106">
        <v>-22.4</v>
      </c>
      <c r="AC112" s="106">
        <v>-21</v>
      </c>
      <c r="AD112" s="106">
        <v>-11</v>
      </c>
      <c r="AE112" s="106">
        <v>1</v>
      </c>
      <c r="AF112" s="106">
        <v>6.2</v>
      </c>
      <c r="AG112" s="119"/>
      <c r="AH112" s="47">
        <f t="shared" si="8"/>
        <v>69</v>
      </c>
      <c r="AI112" s="48">
        <f t="shared" si="9"/>
        <v>-63</v>
      </c>
    </row>
    <row r="113" spans="1:37" ht="15.75" thickBot="1" x14ac:dyDescent="0.3">
      <c r="A113" s="120" t="s">
        <v>121</v>
      </c>
      <c r="B113" s="106">
        <v>63.1</v>
      </c>
      <c r="C113" s="106">
        <v>60.9</v>
      </c>
      <c r="D113" s="106">
        <v>58.9</v>
      </c>
      <c r="E113" s="106">
        <v>51.4</v>
      </c>
      <c r="F113" s="106">
        <v>48.7</v>
      </c>
      <c r="G113" s="106">
        <v>53.7</v>
      </c>
      <c r="H113" s="106">
        <v>53.7</v>
      </c>
      <c r="I113" s="106">
        <v>58.2</v>
      </c>
      <c r="J113" s="106">
        <v>64.400000000000006</v>
      </c>
      <c r="K113" s="106">
        <v>69.900000000000006</v>
      </c>
      <c r="L113" s="106">
        <v>79.8</v>
      </c>
      <c r="M113" s="106">
        <v>82.1</v>
      </c>
      <c r="N113" s="106">
        <v>73.5</v>
      </c>
      <c r="O113" s="106">
        <v>63.5</v>
      </c>
      <c r="P113" s="106">
        <v>89</v>
      </c>
      <c r="Q113" s="106">
        <v>65.400000000000006</v>
      </c>
      <c r="R113" s="106">
        <v>69.8</v>
      </c>
      <c r="S113" s="106">
        <v>74.7</v>
      </c>
      <c r="T113" s="106">
        <v>75.5</v>
      </c>
      <c r="U113" s="106">
        <v>74</v>
      </c>
      <c r="V113" s="106">
        <v>75.5</v>
      </c>
      <c r="W113" s="106">
        <v>78</v>
      </c>
      <c r="X113" s="106">
        <v>91</v>
      </c>
      <c r="Y113" s="106">
        <v>90</v>
      </c>
      <c r="Z113" s="106">
        <v>72</v>
      </c>
      <c r="AA113" s="106">
        <v>70</v>
      </c>
      <c r="AB113" s="106">
        <v>60</v>
      </c>
      <c r="AC113" s="106">
        <v>66</v>
      </c>
      <c r="AD113" s="106">
        <v>65</v>
      </c>
      <c r="AE113" s="106">
        <v>58</v>
      </c>
      <c r="AF113" s="106">
        <v>50</v>
      </c>
      <c r="AG113" s="119"/>
      <c r="AH113" s="47">
        <f t="shared" si="8"/>
        <v>91</v>
      </c>
      <c r="AI113" s="48">
        <f t="shared" si="9"/>
        <v>48.7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1487.3400000000001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2079/11/3)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1031.3399999999999</v>
      </c>
      <c r="U242" s="170">
        <f t="shared" si="20"/>
        <v>894.33999999999992</v>
      </c>
      <c r="V242" s="170">
        <f t="shared" si="20"/>
        <v>1015.74</v>
      </c>
      <c r="W242" s="170">
        <f t="shared" si="20"/>
        <v>987.94</v>
      </c>
      <c r="X242" s="170">
        <f t="shared" si="20"/>
        <v>970.84</v>
      </c>
      <c r="Y242" s="170">
        <f t="shared" si="20"/>
        <v>1015.74</v>
      </c>
      <c r="Z242" s="170">
        <f t="shared" si="20"/>
        <v>1087.44</v>
      </c>
      <c r="AA242" s="170">
        <f t="shared" si="20"/>
        <v>1160.74</v>
      </c>
      <c r="AB242" s="170">
        <f t="shared" si="20"/>
        <v>1117.04</v>
      </c>
      <c r="AC242" s="170">
        <f t="shared" si="20"/>
        <v>1307.44</v>
      </c>
      <c r="AD242" s="170">
        <f t="shared" si="20"/>
        <v>1472.24</v>
      </c>
      <c r="AE242" s="170">
        <f t="shared" si="20"/>
        <v>1487.3400000000001</v>
      </c>
      <c r="AF242" s="170">
        <f t="shared" si="20"/>
        <v>1393.44</v>
      </c>
      <c r="AG242" s="170">
        <f t="shared" si="20"/>
        <v>1349.04</v>
      </c>
      <c r="AH242" s="170">
        <f t="shared" si="20"/>
        <v>1321.44</v>
      </c>
      <c r="AI242" s="170">
        <f t="shared" si="20"/>
        <v>1231.44</v>
      </c>
      <c r="AJ242" s="170">
        <f t="shared" si="20"/>
        <v>1293.44</v>
      </c>
      <c r="AK242" s="170">
        <f t="shared" si="20"/>
        <v>1293.6399999999999</v>
      </c>
      <c r="AL242" s="170">
        <f t="shared" si="20"/>
        <v>1354.6399999999999</v>
      </c>
      <c r="AM242" s="170">
        <f t="shared" si="20"/>
        <v>1328.1399999999999</v>
      </c>
      <c r="AN242" s="170">
        <f t="shared" si="20"/>
        <v>1341.1399999999999</v>
      </c>
      <c r="AO242" s="170">
        <f t="shared" si="20"/>
        <v>1352.54</v>
      </c>
      <c r="AP242" s="170">
        <f t="shared" si="20"/>
        <v>1450.54</v>
      </c>
      <c r="AQ242" s="170">
        <f t="shared" si="20"/>
        <v>1571.24</v>
      </c>
      <c r="AR242" s="170">
        <f t="shared" si="20"/>
        <v>1509.24</v>
      </c>
      <c r="AS242" s="170">
        <f t="shared" si="20"/>
        <v>1495.84</v>
      </c>
      <c r="AT242" s="170">
        <f t="shared" si="20"/>
        <v>1392.6399999999999</v>
      </c>
      <c r="AU242" s="170">
        <f t="shared" si="20"/>
        <v>1291.2399999999998</v>
      </c>
      <c r="AV242" s="170">
        <f t="shared" si="20"/>
        <v>1176.54</v>
      </c>
      <c r="AW242" s="170">
        <f t="shared" si="20"/>
        <v>1162.8399999999999</v>
      </c>
      <c r="AX242" s="170">
        <f t="shared" si="20"/>
        <v>1037.3399999999999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856" priority="94">
      <formula>$AH11=0</formula>
    </cfRule>
  </conditionalFormatting>
  <conditionalFormatting sqref="B8 M8 S8 AB8">
    <cfRule type="expression" dxfId="855" priority="334">
      <formula>AND(C$9&gt;=14/24,C$9&lt;20/24)</formula>
    </cfRule>
    <cfRule type="expression" dxfId="854" priority="335">
      <formula>AND(C$9&gt;=8/24,C$9&lt;14/24)</formula>
    </cfRule>
    <cfRule type="expression" dxfId="853" priority="336">
      <formula>C$9&lt;8/24</formula>
    </cfRule>
  </conditionalFormatting>
  <conditionalFormatting sqref="B44:B54">
    <cfRule type="expression" dxfId="852" priority="14">
      <formula>B44&gt;$AG44</formula>
    </cfRule>
  </conditionalFormatting>
  <conditionalFormatting sqref="B45:B54">
    <cfRule type="expression" dxfId="851" priority="17">
      <formula>AND(B$9&gt;=8/24,B$9&lt;14/24)</formula>
    </cfRule>
    <cfRule type="expression" dxfId="850" priority="18">
      <formula>B$9&lt;8/24</formula>
    </cfRule>
    <cfRule type="expression" dxfId="849" priority="15">
      <formula>B$9&gt;=20/24</formula>
    </cfRule>
    <cfRule type="expression" dxfId="848" priority="16">
      <formula>AND(B$9&gt;=14/24,B$9&lt;20/24)</formula>
    </cfRule>
  </conditionalFormatting>
  <conditionalFormatting sqref="B68:D77">
    <cfRule type="expression" dxfId="843" priority="2">
      <formula>AND(B$9&gt;=14/24,B$9&lt;20/24)</formula>
    </cfRule>
    <cfRule type="expression" dxfId="842" priority="3">
      <formula>AND(B$9&gt;=8/24,B$9&lt;14/24)</formula>
    </cfRule>
    <cfRule type="expression" dxfId="841" priority="4">
      <formula>B$9&lt;8/24</formula>
    </cfRule>
    <cfRule type="expression" dxfId="840" priority="1">
      <formula>B$9&gt;=20/24</formula>
    </cfRule>
  </conditionalFormatting>
  <conditionalFormatting sqref="B9:AF43">
    <cfRule type="expression" dxfId="839" priority="66">
      <formula>B$9&lt;8/24</formula>
    </cfRule>
    <cfRule type="expression" dxfId="838" priority="65">
      <formula>AND(B$9&gt;=8/24,B$9&lt;14/24)</formula>
    </cfRule>
    <cfRule type="expression" dxfId="837" priority="64">
      <formula>AND(B$9&gt;=14/24,B$9&lt;20/24)</formula>
    </cfRule>
    <cfRule type="expression" dxfId="836" priority="63">
      <formula>B$9&gt;=20/24</formula>
    </cfRule>
  </conditionalFormatting>
  <conditionalFormatting sqref="B11:AF43">
    <cfRule type="expression" dxfId="835" priority="62">
      <formula>B11&gt;$AG11</formula>
    </cfRule>
  </conditionalFormatting>
  <conditionalFormatting sqref="B55:AF60">
    <cfRule type="expression" dxfId="834" priority="5">
      <formula>B55&gt;$AG55</formula>
    </cfRule>
    <cfRule type="expression" dxfId="833" priority="6">
      <formula>B$9&gt;=20/24</formula>
    </cfRule>
    <cfRule type="expression" dxfId="832" priority="7">
      <formula>AND(B$9&gt;=14/24,B$9&lt;20/24)</formula>
    </cfRule>
    <cfRule type="expression" dxfId="831" priority="8">
      <formula>AND(B$9&gt;=8/24,B$9&lt;14/24)</formula>
    </cfRule>
    <cfRule type="expression" dxfId="830" priority="9">
      <formula>B$9&lt;8/24</formula>
    </cfRule>
  </conditionalFormatting>
  <conditionalFormatting sqref="B63:AF65">
    <cfRule type="expression" dxfId="829" priority="71">
      <formula>B63&gt;$AG63</formula>
    </cfRule>
    <cfRule type="expression" dxfId="828" priority="73">
      <formula>AND(B$9&gt;=14/24,B$9&lt;20/24)</formula>
    </cfRule>
    <cfRule type="expression" dxfId="827" priority="75">
      <formula>B$9&lt;8/24</formula>
    </cfRule>
    <cfRule type="expression" dxfId="826" priority="74">
      <formula>AND(B$9&gt;=8/24,B$9&lt;14/24)</formula>
    </cfRule>
    <cfRule type="expression" dxfId="825" priority="72">
      <formula>B$9&gt;=20/24</formula>
    </cfRule>
  </conditionalFormatting>
  <conditionalFormatting sqref="B67:AF67">
    <cfRule type="expression" dxfId="824" priority="81">
      <formula>B$9&gt;=20/24</formula>
    </cfRule>
    <cfRule type="expression" dxfId="823" priority="84">
      <formula>B$9&lt;8/24</formula>
    </cfRule>
    <cfRule type="expression" dxfId="822" priority="83">
      <formula>AND(B$9&gt;=8/24,B$9&lt;14/24)</formula>
    </cfRule>
    <cfRule type="expression" dxfId="821" priority="82">
      <formula>AND(B$9&gt;=14/24,B$9&lt;20/24)</formula>
    </cfRule>
  </conditionalFormatting>
  <conditionalFormatting sqref="B78:AF85">
    <cfRule type="expression" dxfId="820" priority="22">
      <formula>B$9&lt;8/24</formula>
    </cfRule>
    <cfRule type="expression" dxfId="819" priority="20">
      <formula>AND(B$9&gt;=14/24,B$9&lt;20/24)</formula>
    </cfRule>
    <cfRule type="expression" dxfId="818" priority="21">
      <formula>AND(B$9&gt;=8/24,B$9&lt;14/24)</formula>
    </cfRule>
    <cfRule type="expression" dxfId="817" priority="19">
      <formula>B$9&gt;=20/24</formula>
    </cfRule>
  </conditionalFormatting>
  <conditionalFormatting sqref="B105:AF112">
    <cfRule type="expression" dxfId="812" priority="38">
      <formula>AND(B$9&gt;=8/24,B$9&lt;14/24)</formula>
    </cfRule>
    <cfRule type="expression" dxfId="811" priority="39">
      <formula>B$9&lt;8/24</formula>
    </cfRule>
    <cfRule type="expression" dxfId="810" priority="36">
      <formula>B$9&gt;=20/24</formula>
    </cfRule>
    <cfRule type="expression" dxfId="809" priority="37">
      <formula>AND(B$9&gt;=14/24,B$9&lt;20/24)</formula>
    </cfRule>
  </conditionalFormatting>
  <conditionalFormatting sqref="B220:AF220 D222:AF223 B222:B228 D224:H224 J224:AF224 D225:AF228 U241:AF241">
    <cfRule type="expression" dxfId="808" priority="330">
      <formula>B$9&lt;8/24</formula>
    </cfRule>
    <cfRule type="expression" dxfId="807" priority="329">
      <formula>AND(B$9&gt;=8/24,B$9&lt;14/24)</formula>
    </cfRule>
    <cfRule type="expression" dxfId="806" priority="328">
      <formula>AND(B$9&gt;=14/24,B$9&lt;20/24)</formula>
    </cfRule>
    <cfRule type="expression" dxfId="805" priority="327">
      <formula>B$9&gt;=20/24</formula>
    </cfRule>
  </conditionalFormatting>
  <conditionalFormatting sqref="B61:AG62 B66:AG66">
    <cfRule type="expression" dxfId="804" priority="23">
      <formula>B61&gt;$AG61</formula>
    </cfRule>
  </conditionalFormatting>
  <conditionalFormatting sqref="B66:AG66 B87:AF103">
    <cfRule type="expression" dxfId="803" priority="27">
      <formula>B$9&lt;8/24</formula>
    </cfRule>
    <cfRule type="expression" dxfId="802" priority="26">
      <formula>AND(B$9&gt;=8/24,B$9&lt;14/24)</formula>
    </cfRule>
    <cfRule type="expression" dxfId="801" priority="25">
      <formula>AND(B$9&gt;=14/24,B$9&lt;20/24)</formula>
    </cfRule>
    <cfRule type="expression" dxfId="800" priority="24">
      <formula>B$9&gt;=20/24</formula>
    </cfRule>
  </conditionalFormatting>
  <conditionalFormatting sqref="C49:D51">
    <cfRule type="expression" dxfId="799" priority="187">
      <formula>AND(C$9&gt;=8/24,C$9&lt;14/24)</formula>
    </cfRule>
    <cfRule type="expression" dxfId="798" priority="188">
      <formula>C$9&lt;8/24</formula>
    </cfRule>
    <cfRule type="expression" dxfId="797" priority="185">
      <formula>C$9&gt;=20/24</formula>
    </cfRule>
    <cfRule type="expression" dxfId="796" priority="186">
      <formula>AND(C$9&gt;=14/24,C$9&lt;20/24)</formula>
    </cfRule>
  </conditionalFormatting>
  <conditionalFormatting sqref="C49:L51">
    <cfRule type="expression" dxfId="795" priority="184">
      <formula>C49&gt;$AG49</formula>
    </cfRule>
  </conditionalFormatting>
  <conditionalFormatting sqref="C52:M53">
    <cfRule type="expression" dxfId="794" priority="179">
      <formula>C52&gt;$AG52</formula>
    </cfRule>
  </conditionalFormatting>
  <conditionalFormatting sqref="C54:W54">
    <cfRule type="expression" dxfId="793" priority="177">
      <formula>AND(C$9&gt;=8/24,C$9&lt;14/24)</formula>
    </cfRule>
    <cfRule type="expression" dxfId="792" priority="178">
      <formula>C$9&lt;8/24</formula>
    </cfRule>
    <cfRule type="expression" dxfId="791" priority="176">
      <formula>AND(C$9&gt;=14/24,C$9&lt;20/24)</formula>
    </cfRule>
    <cfRule type="expression" dxfId="790" priority="175">
      <formula>C$9&gt;=20/24</formula>
    </cfRule>
    <cfRule type="expression" dxfId="789" priority="174">
      <formula>C54&gt;$AG54</formula>
    </cfRule>
  </conditionalFormatting>
  <conditionalFormatting sqref="C45:AF48">
    <cfRule type="expression" dxfId="788" priority="143">
      <formula>C$9&gt;=20/24</formula>
    </cfRule>
    <cfRule type="expression" dxfId="787" priority="144">
      <formula>AND(C$9&gt;=14/24,C$9&lt;20/24)</formula>
    </cfRule>
    <cfRule type="expression" dxfId="786" priority="146">
      <formula>C$9&lt;8/24</formula>
    </cfRule>
    <cfRule type="expression" dxfId="785" priority="145">
      <formula>AND(C$9&gt;=8/24,C$9&lt;14/24)</formula>
    </cfRule>
    <cfRule type="expression" dxfId="784" priority="142">
      <formula>C45&gt;$AG45</formula>
    </cfRule>
  </conditionalFormatting>
  <conditionalFormatting sqref="C44:AG44">
    <cfRule type="expression" dxfId="779" priority="160">
      <formula>C44&gt;$AG44</formula>
    </cfRule>
  </conditionalFormatting>
  <conditionalFormatting sqref="E49:L49">
    <cfRule type="expression" dxfId="778" priority="267">
      <formula>AND(E$9&gt;=8/24,E$9&lt;14/24)</formula>
    </cfRule>
    <cfRule type="expression" dxfId="777" priority="268">
      <formula>E$9&lt;8/24</formula>
    </cfRule>
    <cfRule type="expression" dxfId="776" priority="265">
      <formula>E$9&gt;=20/24</formula>
    </cfRule>
    <cfRule type="expression" dxfId="775" priority="266">
      <formula>AND(E$9&gt;=14/24,E$9&lt;20/24)</formula>
    </cfRule>
  </conditionalFormatting>
  <conditionalFormatting sqref="E50:M51">
    <cfRule type="expression" dxfId="774" priority="272">
      <formula>E$9&lt;8/24</formula>
    </cfRule>
    <cfRule type="expression" dxfId="773" priority="271">
      <formula>AND(E$9&gt;=8/24,E$9&lt;14/24)</formula>
    </cfRule>
    <cfRule type="expression" dxfId="772" priority="270">
      <formula>AND(E$9&gt;=14/24,E$9&lt;20/24)</formula>
    </cfRule>
    <cfRule type="expression" dxfId="771" priority="269">
      <formula>E$9&gt;=20/24</formula>
    </cfRule>
  </conditionalFormatting>
  <conditionalFormatting sqref="E70:W72 X71:AF72">
    <cfRule type="expression" dxfId="770" priority="181">
      <formula>AND(E$9&gt;=14/24,E$9&lt;20/24)</formula>
    </cfRule>
    <cfRule type="expression" dxfId="769" priority="180">
      <formula>E$9&gt;=20/24</formula>
    </cfRule>
    <cfRule type="expression" dxfId="768" priority="183">
      <formula>E$9&lt;8/24</formula>
    </cfRule>
    <cfRule type="expression" dxfId="767" priority="182">
      <formula>AND(E$9&gt;=8/24,E$9&lt;14/24)</formula>
    </cfRule>
  </conditionalFormatting>
  <conditionalFormatting sqref="E68:AC69 AD68:AF70 X70:AC70">
    <cfRule type="expression" dxfId="766" priority="290">
      <formula>AND(E$9&gt;=8/24,E$9&lt;14/24)</formula>
    </cfRule>
    <cfRule type="expression" dxfId="765" priority="289">
      <formula>AND(E$9&gt;=14/24,E$9&lt;20/24)</formula>
    </cfRule>
    <cfRule type="expression" dxfId="764" priority="288">
      <formula>E$9&gt;=20/24</formula>
    </cfRule>
    <cfRule type="expression" dxfId="763" priority="291">
      <formula>E$9&lt;8/24</formula>
    </cfRule>
  </conditionalFormatting>
  <conditionalFormatting sqref="E73:AF77">
    <cfRule type="expression" dxfId="762" priority="103">
      <formula>E$9&gt;=20/24</formula>
    </cfRule>
    <cfRule type="expression" dxfId="761" priority="104">
      <formula>AND(E$9&gt;=14/24,E$9&lt;20/24)</formula>
    </cfRule>
    <cfRule type="expression" dxfId="760" priority="105">
      <formula>AND(E$9&gt;=8/24,E$9&lt;14/24)</formula>
    </cfRule>
    <cfRule type="expression" dxfId="759" priority="106">
      <formula>E$9&lt;8/24</formula>
    </cfRule>
  </conditionalFormatting>
  <conditionalFormatting sqref="M50:M51">
    <cfRule type="expression" dxfId="758" priority="264">
      <formula>M50&gt;$AG50</formula>
    </cfRule>
  </conditionalFormatting>
  <conditionalFormatting sqref="M49:N49 O49:R53 N50:N53 S53:W53">
    <cfRule type="expression" dxfId="757" priority="292">
      <formula>M49&gt;$AG49</formula>
    </cfRule>
  </conditionalFormatting>
  <conditionalFormatting sqref="M49:R49">
    <cfRule type="expression" dxfId="756" priority="293">
      <formula>M$9&gt;=20/24</formula>
    </cfRule>
    <cfRule type="expression" dxfId="755" priority="294">
      <formula>AND(M$9&gt;=14/24,M$9&lt;20/24)</formula>
    </cfRule>
    <cfRule type="expression" dxfId="754" priority="295">
      <formula>AND(M$9&gt;=8/24,M$9&lt;14/24)</formula>
    </cfRule>
    <cfRule type="expression" dxfId="753" priority="296">
      <formula>M$9&lt;8/24</formula>
    </cfRule>
  </conditionalFormatting>
  <conditionalFormatting sqref="N50:R53 S53:W53">
    <cfRule type="expression" dxfId="752" priority="299">
      <formula>AND(N$9&gt;=8/24,N$9&lt;14/24)</formula>
    </cfRule>
    <cfRule type="expression" dxfId="751" priority="300">
      <formula>N$9&lt;8/24</formula>
    </cfRule>
    <cfRule type="expression" dxfId="750" priority="298">
      <formula>AND(N$9&gt;=14/24,N$9&lt;20/24)</formula>
    </cfRule>
    <cfRule type="expression" dxfId="749" priority="297">
      <formula>N$9&gt;=20/24</formula>
    </cfRule>
  </conditionalFormatting>
  <conditionalFormatting sqref="O3:P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48" priority="333">
      <formula>C$9&gt;=20/24</formula>
    </cfRule>
  </conditionalFormatting>
  <conditionalFormatting sqref="S8">
    <cfRule type="expression" dxfId="747" priority="307">
      <formula>AND(U$9&gt;=14/24,U$9&lt;20/24)</formula>
    </cfRule>
    <cfRule type="expression" dxfId="746" priority="306">
      <formula>U$9&gt;=20/24</formula>
    </cfRule>
    <cfRule type="expression" dxfId="745" priority="308">
      <formula>AND(U$9&gt;=8/24,U$9&lt;14/24)</formula>
    </cfRule>
    <cfRule type="expression" dxfId="744" priority="309">
      <formula>U$9&lt;8/24</formula>
    </cfRule>
  </conditionalFormatting>
  <conditionalFormatting sqref="T241">
    <cfRule type="expression" dxfId="743" priority="346">
      <formula>AX$9&gt;=20/24</formula>
    </cfRule>
    <cfRule type="expression" dxfId="742" priority="347">
      <formula>AND(AX$9&gt;=14/24,AX$9&lt;20/24)</formula>
    </cfRule>
    <cfRule type="expression" dxfId="741" priority="348">
      <formula>AND(AX$9&gt;=8/24,AX$9&lt;14/24)</formula>
    </cfRule>
    <cfRule type="expression" dxfId="740" priority="349">
      <formula>AX$9&lt;8/24</formula>
    </cfRule>
  </conditionalFormatting>
  <conditionalFormatting sqref="V3 AB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W49:AF51 S49:V52 W52">
    <cfRule type="expression" dxfId="739" priority="282">
      <formula>S49&gt;$AG49</formula>
    </cfRule>
    <cfRule type="expression" dxfId="738" priority="284">
      <formula>AND(S$9&gt;=14/24,S$9&lt;20/24)</formula>
    </cfRule>
    <cfRule type="expression" dxfId="737" priority="285">
      <formula>AND(S$9&gt;=8/24,S$9&lt;14/24)</formula>
    </cfRule>
    <cfRule type="expression" dxfId="736" priority="286">
      <formula>S$9&lt;8/24</formula>
    </cfRule>
    <cfRule type="expression" dxfId="735" priority="283">
      <formula>S$9&gt;=20/24</formula>
    </cfRule>
  </conditionalFormatting>
  <conditionalFormatting sqref="X52:AF54">
    <cfRule type="expression" dxfId="734" priority="254">
      <formula>X52&gt;$AG52</formula>
    </cfRule>
    <cfRule type="expression" dxfId="733" priority="258">
      <formula>X$9&lt;8/24</formula>
    </cfRule>
    <cfRule type="expression" dxfId="732" priority="257">
      <formula>AND(X$9&gt;=8/24,X$9&lt;14/24)</formula>
    </cfRule>
    <cfRule type="expression" dxfId="731" priority="256">
      <formula>AND(X$9&gt;=14/24,X$9&lt;20/24)</formula>
    </cfRule>
    <cfRule type="expression" dxfId="730" priority="255">
      <formula>X$9&gt;=20/24</formula>
    </cfRule>
  </conditionalFormatting>
  <conditionalFormatting sqref="AB8">
    <cfRule type="expression" dxfId="729" priority="302">
      <formula>AD$9&gt;=20/24</formula>
    </cfRule>
    <cfRule type="expression" dxfId="728" priority="303">
      <formula>AND(AD$9&gt;=14/24,AD$9&lt;20/24)</formula>
    </cfRule>
    <cfRule type="expression" dxfId="727" priority="304">
      <formula>AND(AD$9&gt;=8/24,AD$9&lt;14/24)</formula>
    </cfRule>
    <cfRule type="expression" dxfId="726" priority="305">
      <formula>AD$9&lt;8/24</formula>
    </cfRule>
  </conditionalFormatting>
  <conditionalFormatting sqref="AG48">
    <cfRule type="expression" dxfId="725" priority="241">
      <formula>AND(AG$9&gt;=14/24,AG$9&lt;20/24)</formula>
    </cfRule>
    <cfRule type="expression" dxfId="724" priority="243">
      <formula>AG$9&lt;8/24</formula>
    </cfRule>
    <cfRule type="expression" dxfId="723" priority="242">
      <formula>AND(AG$9&gt;=8/24,AG$9&lt;14/24)</formula>
    </cfRule>
    <cfRule type="expression" dxfId="722" priority="240">
      <formula>AG$9&gt;=20/24</formula>
    </cfRule>
    <cfRule type="expression" dxfId="721" priority="239">
      <formula>AG48&gt;$AG48</formula>
    </cfRule>
  </conditionalFormatting>
  <conditionalFormatting sqref="AG83">
    <cfRule type="expression" dxfId="720" priority="260">
      <formula>AG$9&gt;=20/24</formula>
    </cfRule>
    <cfRule type="expression" dxfId="719" priority="261">
      <formula>AND(AG$9&gt;=14/24,AG$9&lt;20/24)</formula>
    </cfRule>
    <cfRule type="expression" dxfId="718" priority="263">
      <formula>AG$9&lt;8/24</formula>
    </cfRule>
    <cfRule type="expression" dxfId="717" priority="262">
      <formula>AND(AG$9&gt;=8/24,AG$9&lt;14/24)</formula>
    </cfRule>
  </conditionalFormatting>
  <conditionalFormatting sqref="AG241">
    <cfRule type="expression" dxfId="716" priority="338">
      <formula>B$9&gt;=20/24</formula>
    </cfRule>
    <cfRule type="expression" dxfId="715" priority="339">
      <formula>AND(B$9&gt;=14/24,B$9&lt;20/24)</formula>
    </cfRule>
    <cfRule type="expression" dxfId="714" priority="340">
      <formula>AND(B$9&gt;=8/24,B$9&lt;14/24)</formula>
    </cfRule>
    <cfRule type="expression" dxfId="713" priority="341">
      <formula>B$9&lt;8/24</formula>
    </cfRule>
  </conditionalFormatting>
  <conditionalFormatting sqref="AH241:AX241">
    <cfRule type="expression" dxfId="712" priority="342">
      <formula>AG$9&gt;=20/24</formula>
    </cfRule>
    <cfRule type="expression" dxfId="711" priority="343">
      <formula>AND(AG$9&gt;=14/24,AG$9&lt;20/24)</formula>
    </cfRule>
    <cfRule type="expression" dxfId="710" priority="344">
      <formula>AND(AG$9&gt;=8/24,AG$9&lt;14/24)</formula>
    </cfRule>
    <cfRule type="expression" dxfId="709" priority="345">
      <formula>AG$9&lt;8/24</formula>
    </cfRule>
  </conditionalFormatting>
  <conditionalFormatting sqref="AL4:AL6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708" priority="354">
      <formula>AJ$9&lt;8/24</formula>
    </cfRule>
    <cfRule type="expression" dxfId="707" priority="351">
      <formula>AJ$9&gt;=20/24</formula>
    </cfRule>
    <cfRule type="expression" dxfId="706" priority="352">
      <formula>AND(AJ$9&gt;=14/24,AJ$9&lt;20/24)</formula>
    </cfRule>
    <cfRule type="expression" dxfId="705" priority="353">
      <formula>AND(AJ$9&gt;=8/24,AJ$9&lt;14/24)</formula>
    </cfRule>
  </conditionalFormatting>
  <conditionalFormatting sqref="AL74:AN74 AL80:AN80">
    <cfRule type="expression" dxfId="704" priority="100">
      <formula>AND(AL$9&gt;=14/24,AL$9&lt;20/24)</formula>
    </cfRule>
    <cfRule type="expression" dxfId="703" priority="99">
      <formula>AL$9&gt;=20/24</formula>
    </cfRule>
    <cfRule type="expression" dxfId="702" priority="102">
      <formula>AL$9&lt;8/24</formula>
    </cfRule>
    <cfRule type="expression" dxfId="701" priority="101">
      <formula>AND(AL$9&gt;=8/24,AL$9&lt;14/24)</formula>
    </cfRule>
  </conditionalFormatting>
  <conditionalFormatting sqref="AN75:AN78">
    <cfRule type="expression" dxfId="700" priority="98">
      <formula>AN$9&lt;8/24</formula>
    </cfRule>
    <cfRule type="expression" dxfId="699" priority="97">
      <formula>AND(AN$9&gt;=8/24,AN$9&lt;14/24)</formula>
    </cfRule>
    <cfRule type="expression" dxfId="698" priority="96">
      <formula>AND(AN$9&gt;=14/24,AN$9&lt;20/24)</formula>
    </cfRule>
    <cfRule type="expression" dxfId="697" priority="95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D996C02E-3B5A-4126-AD38-1E911A3A3A6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95E401CC-37F0-482C-A24B-B91FDC7CAC2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" id="{7E69BD49-8770-4FD9-A8B4-336530D345C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" id="{51201A0A-7784-4526-B7FB-50F85A736F0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11" id="{72C412CA-D975-4CA3-AEA3-549CF32FE7A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" id="{153C19D8-F3F9-46C4-9143-FF24FD8F874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622B8ADE-ACD4-46BD-A3D8-0E3A5ADFE43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B4097671-6C5F-478B-BE61-9DA94410370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227" id="{1FDFE0C7-7B20-4E75-85E8-291DA6F970E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0" id="{2CD071C7-F259-4889-9AE1-09BE1A91493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9" id="{2F2A5F49-F7C9-499B-9175-502AB50F5E6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8" id="{CB5F3D2D-B696-4300-A5C5-DAD8E57CC69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C113:AF113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74"/>
  <sheetViews>
    <sheetView zoomScale="90" zoomScaleNormal="90" workbookViewId="0">
      <pane ySplit="10" topLeftCell="A63" activePane="bottomLeft" state="frozen"/>
      <selection activeCell="Z85" sqref="Z85"/>
      <selection pane="bottomLeft" activeCell="B69" sqref="B69:AF7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2079/11/4</v>
      </c>
      <c r="C4" s="208"/>
      <c r="D4" s="208"/>
      <c r="E4" s="209" t="str">
        <f ca="1">"2079/"&amp;"11/"&amp;INT(MID(CELL("filename",G6),FIND("]",CELL("filename",G6))+1,200))</f>
        <v>2079/11/4</v>
      </c>
      <c r="F4" s="209"/>
      <c r="G4" s="209"/>
      <c r="H4" s="209" t="str">
        <f ca="1">TEXT(E4,"dddd")</f>
        <v>Saturday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483</v>
      </c>
      <c r="C5" s="30">
        <f t="shared" si="0"/>
        <v>442</v>
      </c>
      <c r="D5" s="30">
        <f t="shared" si="0"/>
        <v>494.3</v>
      </c>
      <c r="E5" s="30">
        <f t="shared" si="0"/>
        <v>491.2</v>
      </c>
      <c r="F5" s="30">
        <f t="shared" si="0"/>
        <v>505.8</v>
      </c>
      <c r="G5" s="30">
        <f t="shared" si="0"/>
        <v>489.7</v>
      </c>
      <c r="H5" s="30">
        <f t="shared" si="0"/>
        <v>491.70000000000005</v>
      </c>
      <c r="I5" s="30">
        <f t="shared" si="0"/>
        <v>351</v>
      </c>
      <c r="J5" s="30">
        <f t="shared" si="0"/>
        <v>312.10000000000002</v>
      </c>
      <c r="K5" s="30">
        <f t="shared" si="0"/>
        <v>273.70000000000005</v>
      </c>
      <c r="L5" s="30">
        <f t="shared" si="0"/>
        <v>334.6</v>
      </c>
      <c r="M5" s="30">
        <f t="shared" si="0"/>
        <v>381.9</v>
      </c>
      <c r="N5" s="30">
        <f t="shared" si="0"/>
        <v>355.90000000000003</v>
      </c>
      <c r="O5" s="30">
        <f t="shared" si="0"/>
        <v>504.3</v>
      </c>
      <c r="P5" s="30">
        <f t="shared" si="0"/>
        <v>491</v>
      </c>
      <c r="Q5" s="30">
        <f t="shared" si="0"/>
        <v>498</v>
      </c>
      <c r="R5" s="30">
        <f t="shared" si="0"/>
        <v>489.1</v>
      </c>
      <c r="S5" s="30">
        <f t="shared" si="0"/>
        <v>513</v>
      </c>
      <c r="T5" s="30">
        <f t="shared" si="0"/>
        <v>513.40000000000009</v>
      </c>
      <c r="U5" s="30">
        <f t="shared" si="0"/>
        <v>449.8</v>
      </c>
      <c r="V5" s="30">
        <f t="shared" si="0"/>
        <v>469.6</v>
      </c>
      <c r="W5" s="30">
        <f t="shared" si="0"/>
        <v>536.79999999999995</v>
      </c>
      <c r="X5" s="30">
        <f t="shared" si="0"/>
        <v>309.3</v>
      </c>
      <c r="Y5" s="30">
        <f t="shared" si="0"/>
        <v>233.39999999999998</v>
      </c>
      <c r="Z5" s="30">
        <f t="shared" si="0"/>
        <v>254.1</v>
      </c>
      <c r="AA5" s="30">
        <f t="shared" si="0"/>
        <v>303.2</v>
      </c>
      <c r="AB5" s="30">
        <f t="shared" si="0"/>
        <v>482</v>
      </c>
      <c r="AC5" s="30">
        <f t="shared" si="0"/>
        <v>481.9</v>
      </c>
      <c r="AD5" s="30">
        <f t="shared" si="0"/>
        <v>446.3</v>
      </c>
      <c r="AE5" s="30">
        <f t="shared" si="0"/>
        <v>463.2</v>
      </c>
      <c r="AF5" s="30">
        <f>B78</f>
        <v>461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1492MW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Load=965</v>
      </c>
      <c r="B7" s="35">
        <f t="shared" ref="B7:AF7" si="1">B85</f>
        <v>976.33999999999992</v>
      </c>
      <c r="C7" s="35">
        <f t="shared" si="1"/>
        <v>998.33999999999992</v>
      </c>
      <c r="D7" s="35">
        <f t="shared" si="1"/>
        <v>964.74</v>
      </c>
      <c r="E7" s="35">
        <f t="shared" si="1"/>
        <v>989.1400000000001</v>
      </c>
      <c r="F7" s="35">
        <f t="shared" si="1"/>
        <v>985.04</v>
      </c>
      <c r="G7" s="35">
        <f t="shared" si="1"/>
        <v>1034.94</v>
      </c>
      <c r="H7" s="35">
        <f t="shared" si="1"/>
        <v>1110.54</v>
      </c>
      <c r="I7" s="35">
        <f t="shared" si="1"/>
        <v>1144.6400000000001</v>
      </c>
      <c r="J7" s="35">
        <f t="shared" si="1"/>
        <v>1246.3400000000001</v>
      </c>
      <c r="K7" s="35">
        <f t="shared" si="1"/>
        <v>1377.54</v>
      </c>
      <c r="L7" s="35">
        <f t="shared" si="1"/>
        <v>1492.3400000000001</v>
      </c>
      <c r="M7" s="35">
        <f t="shared" si="1"/>
        <v>1422.7400000000002</v>
      </c>
      <c r="N7" s="35">
        <f>N85</f>
        <v>1350.04</v>
      </c>
      <c r="O7" s="35">
        <f t="shared" si="1"/>
        <v>1332.3400000000001</v>
      </c>
      <c r="P7" s="35">
        <f t="shared" si="1"/>
        <v>1243.04</v>
      </c>
      <c r="Q7" s="35">
        <f t="shared" si="1"/>
        <v>1309.6399999999999</v>
      </c>
      <c r="R7" s="35">
        <f t="shared" si="1"/>
        <v>1271.6399999999999</v>
      </c>
      <c r="S7" s="35">
        <f t="shared" si="1"/>
        <v>1301.1399999999999</v>
      </c>
      <c r="T7" s="35">
        <f t="shared" si="1"/>
        <v>1306.74</v>
      </c>
      <c r="U7" s="35">
        <f t="shared" si="1"/>
        <v>1281.3400000000001</v>
      </c>
      <c r="V7" s="35">
        <f t="shared" si="1"/>
        <v>1196.24</v>
      </c>
      <c r="W7" s="35">
        <f t="shared" si="1"/>
        <v>1324.34</v>
      </c>
      <c r="X7" s="35">
        <f t="shared" si="1"/>
        <v>1397.34</v>
      </c>
      <c r="Y7" s="35">
        <f t="shared" si="1"/>
        <v>1563.44</v>
      </c>
      <c r="Z7" s="35">
        <f t="shared" si="1"/>
        <v>1499.54</v>
      </c>
      <c r="AA7" s="35">
        <f t="shared" si="1"/>
        <v>1426.94</v>
      </c>
      <c r="AB7" s="35">
        <f t="shared" si="1"/>
        <v>1366.74</v>
      </c>
      <c r="AC7" s="35">
        <f t="shared" si="1"/>
        <v>1182.54</v>
      </c>
      <c r="AD7" s="35">
        <f t="shared" si="1"/>
        <v>1212.44</v>
      </c>
      <c r="AE7" s="35">
        <f t="shared" si="1"/>
        <v>1144.44</v>
      </c>
      <c r="AF7" s="35">
        <f t="shared" si="1"/>
        <v>1057.8399999999999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14</v>
      </c>
      <c r="C11" s="45">
        <v>14</v>
      </c>
      <c r="D11" s="45">
        <v>14</v>
      </c>
      <c r="E11" s="45">
        <v>17.600000000000001</v>
      </c>
      <c r="F11" s="45">
        <v>17.600000000000001</v>
      </c>
      <c r="G11" s="45">
        <v>17.600000000000001</v>
      </c>
      <c r="H11" s="45">
        <v>17.600000000000001</v>
      </c>
      <c r="I11" s="45">
        <v>11.9</v>
      </c>
      <c r="J11" s="45">
        <v>11.9</v>
      </c>
      <c r="K11" s="45">
        <v>11.9</v>
      </c>
      <c r="L11" s="45">
        <v>11.9</v>
      </c>
      <c r="M11" s="45">
        <v>11.9</v>
      </c>
      <c r="N11" s="45">
        <v>11.9</v>
      </c>
      <c r="O11" s="45">
        <v>11.9</v>
      </c>
      <c r="P11" s="45">
        <v>11.9</v>
      </c>
      <c r="Q11" s="45">
        <v>11.9</v>
      </c>
      <c r="R11" s="45">
        <v>15.7</v>
      </c>
      <c r="S11" s="45">
        <v>16.399999999999999</v>
      </c>
      <c r="T11" s="45">
        <v>16.5</v>
      </c>
      <c r="U11" s="45">
        <v>16.5</v>
      </c>
      <c r="V11" s="45">
        <v>16.5</v>
      </c>
      <c r="W11" s="45">
        <v>16.5</v>
      </c>
      <c r="X11" s="45">
        <v>16.5</v>
      </c>
      <c r="Y11" s="45">
        <v>16.5</v>
      </c>
      <c r="Z11" s="45">
        <v>16.5</v>
      </c>
      <c r="AA11" s="45">
        <v>16.5</v>
      </c>
      <c r="AB11" s="45">
        <v>16.5</v>
      </c>
      <c r="AC11" s="45">
        <v>16.5</v>
      </c>
      <c r="AD11" s="45">
        <v>16.5</v>
      </c>
      <c r="AE11" s="45">
        <v>16.5</v>
      </c>
      <c r="AF11" s="45">
        <v>16.5</v>
      </c>
      <c r="AG11" s="46">
        <v>52.4</v>
      </c>
      <c r="AH11" s="47">
        <f t="shared" ref="AH11:AH74" si="2">MAX(B11:AF11)</f>
        <v>17.600000000000001</v>
      </c>
      <c r="AI11" s="48">
        <f t="shared" ref="AI11:AI74" si="3">MIN(B11:AF11)</f>
        <v>11.9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31.2</v>
      </c>
      <c r="C12" s="45">
        <v>31.2</v>
      </c>
      <c r="D12" s="45">
        <v>31.2</v>
      </c>
      <c r="E12" s="45">
        <v>30.9</v>
      </c>
      <c r="F12" s="45">
        <v>30.9</v>
      </c>
      <c r="G12" s="45">
        <v>30.9</v>
      </c>
      <c r="H12" s="45">
        <v>30.9</v>
      </c>
      <c r="I12" s="45">
        <v>31.4</v>
      </c>
      <c r="J12" s="45">
        <v>31.4</v>
      </c>
      <c r="K12" s="45">
        <v>31.4</v>
      </c>
      <c r="L12" s="45">
        <v>31.4</v>
      </c>
      <c r="M12" s="45">
        <v>31.4</v>
      </c>
      <c r="N12" s="45">
        <v>31.4</v>
      </c>
      <c r="O12" s="45">
        <v>31.4</v>
      </c>
      <c r="P12" s="45">
        <v>31.4</v>
      </c>
      <c r="Q12" s="45">
        <v>31.4</v>
      </c>
      <c r="R12" s="45">
        <v>31.4</v>
      </c>
      <c r="S12" s="45">
        <v>31.7</v>
      </c>
      <c r="T12" s="45">
        <v>31.5</v>
      </c>
      <c r="U12" s="45">
        <v>31.5</v>
      </c>
      <c r="V12" s="45">
        <v>31.5</v>
      </c>
      <c r="W12" s="45">
        <v>31.5</v>
      </c>
      <c r="X12" s="45">
        <v>31.5</v>
      </c>
      <c r="Y12" s="45">
        <v>31.5</v>
      </c>
      <c r="Z12" s="45">
        <v>31.5</v>
      </c>
      <c r="AA12" s="45">
        <v>31.5</v>
      </c>
      <c r="AB12" s="45">
        <v>31.5</v>
      </c>
      <c r="AC12" s="45">
        <v>31.5</v>
      </c>
      <c r="AD12" s="45">
        <v>31.5</v>
      </c>
      <c r="AE12" s="45">
        <v>31.5</v>
      </c>
      <c r="AF12" s="45">
        <v>31.5</v>
      </c>
      <c r="AG12" s="50">
        <v>50</v>
      </c>
      <c r="AH12" s="47">
        <f t="shared" si="2"/>
        <v>31.7</v>
      </c>
      <c r="AI12" s="48">
        <f t="shared" si="3"/>
        <v>30.9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15.5</v>
      </c>
      <c r="C13" s="45">
        <v>15.5</v>
      </c>
      <c r="D13" s="45">
        <v>15.5</v>
      </c>
      <c r="E13" s="45">
        <v>18.7</v>
      </c>
      <c r="F13" s="45">
        <v>18.7</v>
      </c>
      <c r="G13" s="45">
        <v>18.7</v>
      </c>
      <c r="H13" s="45">
        <v>18.7</v>
      </c>
      <c r="I13" s="45">
        <v>18.7</v>
      </c>
      <c r="J13" s="45">
        <v>18.7</v>
      </c>
      <c r="K13" s="45">
        <v>18.7</v>
      </c>
      <c r="L13" s="45">
        <v>18.7</v>
      </c>
      <c r="M13" s="45">
        <v>18.7</v>
      </c>
      <c r="N13" s="45">
        <v>18.7</v>
      </c>
      <c r="O13" s="45">
        <v>18.7</v>
      </c>
      <c r="P13" s="45">
        <v>18.7</v>
      </c>
      <c r="Q13" s="45">
        <v>18.7</v>
      </c>
      <c r="R13" s="45">
        <v>18.7</v>
      </c>
      <c r="S13" s="45">
        <v>18.7</v>
      </c>
      <c r="T13" s="45">
        <v>16.100000000000001</v>
      </c>
      <c r="U13" s="45">
        <v>16.100000000000001</v>
      </c>
      <c r="V13" s="45">
        <v>16.100000000000001</v>
      </c>
      <c r="W13" s="45">
        <v>16.100000000000001</v>
      </c>
      <c r="X13" s="45">
        <v>16.100000000000001</v>
      </c>
      <c r="Y13" s="45">
        <v>16.100000000000001</v>
      </c>
      <c r="Z13" s="45">
        <v>16.100000000000001</v>
      </c>
      <c r="AA13" s="45">
        <v>16.100000000000001</v>
      </c>
      <c r="AB13" s="45">
        <v>16.100000000000001</v>
      </c>
      <c r="AC13" s="45">
        <v>16.100000000000001</v>
      </c>
      <c r="AD13" s="45">
        <v>16.100000000000001</v>
      </c>
      <c r="AE13" s="45">
        <v>16.100000000000001</v>
      </c>
      <c r="AF13" s="45">
        <v>16.100000000000001</v>
      </c>
      <c r="AG13" s="50">
        <v>45</v>
      </c>
      <c r="AH13" s="47">
        <f t="shared" si="2"/>
        <v>18.7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9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8.1999999999999993</v>
      </c>
      <c r="C16" s="45">
        <v>8.1999999999999993</v>
      </c>
      <c r="D16" s="45">
        <v>8.1999999999999993</v>
      </c>
      <c r="E16" s="45">
        <v>8.1999999999999993</v>
      </c>
      <c r="F16" s="45">
        <v>8.1999999999999993</v>
      </c>
      <c r="G16" s="45">
        <v>8.1999999999999993</v>
      </c>
      <c r="H16" s="45">
        <v>8.1999999999999993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8.3000000000000007</v>
      </c>
      <c r="U16" s="45">
        <v>8.3000000000000007</v>
      </c>
      <c r="V16" s="45">
        <v>8.3000000000000007</v>
      </c>
      <c r="W16" s="45">
        <v>8.3000000000000007</v>
      </c>
      <c r="X16" s="45">
        <v>8.3000000000000007</v>
      </c>
      <c r="Y16" s="45">
        <v>8.3000000000000007</v>
      </c>
      <c r="Z16" s="45">
        <v>8.3000000000000007</v>
      </c>
      <c r="AA16" s="45">
        <v>8.3000000000000007</v>
      </c>
      <c r="AB16" s="45">
        <v>8.3000000000000007</v>
      </c>
      <c r="AC16" s="45">
        <v>8.3000000000000007</v>
      </c>
      <c r="AD16" s="45">
        <v>8.3000000000000007</v>
      </c>
      <c r="AE16" s="45">
        <v>8.3000000000000007</v>
      </c>
      <c r="AF16" s="45">
        <v>8.3000000000000007</v>
      </c>
      <c r="AG16" s="51">
        <v>30</v>
      </c>
      <c r="AH16" s="47">
        <f t="shared" si="2"/>
        <v>8.3000000000000007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</v>
      </c>
      <c r="C17" s="45">
        <v>7</v>
      </c>
      <c r="D17" s="45">
        <v>7</v>
      </c>
      <c r="E17" s="45">
        <v>7</v>
      </c>
      <c r="F17" s="45">
        <v>7</v>
      </c>
      <c r="G17" s="45">
        <v>7</v>
      </c>
      <c r="H17" s="45">
        <v>7</v>
      </c>
      <c r="I17" s="45">
        <v>7</v>
      </c>
      <c r="J17" s="45">
        <v>7</v>
      </c>
      <c r="K17" s="45">
        <v>7</v>
      </c>
      <c r="L17" s="45">
        <v>7</v>
      </c>
      <c r="M17" s="45">
        <v>7</v>
      </c>
      <c r="N17" s="45">
        <v>7</v>
      </c>
      <c r="O17" s="45">
        <v>7</v>
      </c>
      <c r="P17" s="45">
        <v>7</v>
      </c>
      <c r="Q17" s="45">
        <v>7</v>
      </c>
      <c r="R17" s="45">
        <v>7</v>
      </c>
      <c r="S17" s="45">
        <v>7</v>
      </c>
      <c r="T17" s="45">
        <v>7</v>
      </c>
      <c r="U17" s="45">
        <v>7</v>
      </c>
      <c r="V17" s="45">
        <v>7</v>
      </c>
      <c r="W17" s="45">
        <v>7</v>
      </c>
      <c r="X17" s="45">
        <v>7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7.2</v>
      </c>
      <c r="C20" s="45">
        <v>7.2</v>
      </c>
      <c r="D20" s="45">
        <v>7.2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7.2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50">
        <v>23.5</v>
      </c>
      <c r="AH24" s="47">
        <f t="shared" si="2"/>
        <v>7.3</v>
      </c>
      <c r="AI24" s="48">
        <f t="shared" si="3"/>
        <v>7.3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353.9</v>
      </c>
      <c r="C44" s="60">
        <f t="shared" si="4"/>
        <v>353.9</v>
      </c>
      <c r="D44" s="60">
        <f t="shared" si="4"/>
        <v>353.9</v>
      </c>
      <c r="E44" s="60">
        <f t="shared" si="4"/>
        <v>363.1</v>
      </c>
      <c r="F44" s="60">
        <f t="shared" si="4"/>
        <v>363.1</v>
      </c>
      <c r="G44" s="60">
        <f t="shared" si="4"/>
        <v>363.1</v>
      </c>
      <c r="H44" s="60">
        <f t="shared" si="4"/>
        <v>363.1</v>
      </c>
      <c r="I44" s="60">
        <f t="shared" si="4"/>
        <v>357.70000000000005</v>
      </c>
      <c r="J44" s="60">
        <f t="shared" si="4"/>
        <v>357.70000000000005</v>
      </c>
      <c r="K44" s="60">
        <f t="shared" si="4"/>
        <v>357.70000000000005</v>
      </c>
      <c r="L44" s="60">
        <f t="shared" si="4"/>
        <v>357.70000000000005</v>
      </c>
      <c r="M44" s="60">
        <f t="shared" si="4"/>
        <v>357.70000000000005</v>
      </c>
      <c r="N44" s="60">
        <f t="shared" si="4"/>
        <v>357.70000000000005</v>
      </c>
      <c r="O44" s="60">
        <f t="shared" si="4"/>
        <v>357.70000000000005</v>
      </c>
      <c r="P44" s="60">
        <f t="shared" si="4"/>
        <v>357.70000000000005</v>
      </c>
      <c r="Q44" s="60">
        <f t="shared" si="4"/>
        <v>357.70000000000005</v>
      </c>
      <c r="R44" s="60">
        <f t="shared" si="4"/>
        <v>361.5</v>
      </c>
      <c r="S44" s="60">
        <f t="shared" si="4"/>
        <v>363.5</v>
      </c>
      <c r="T44" s="60">
        <f t="shared" si="4"/>
        <v>360.6</v>
      </c>
      <c r="U44" s="60">
        <f t="shared" si="4"/>
        <v>359.6</v>
      </c>
      <c r="V44" s="60">
        <f t="shared" si="4"/>
        <v>359.6</v>
      </c>
      <c r="W44" s="60">
        <f t="shared" si="4"/>
        <v>359.6</v>
      </c>
      <c r="X44" s="60">
        <f t="shared" si="4"/>
        <v>359.6</v>
      </c>
      <c r="Y44" s="60">
        <f t="shared" si="4"/>
        <v>359.6</v>
      </c>
      <c r="Z44" s="60">
        <f t="shared" si="4"/>
        <v>359.6</v>
      </c>
      <c r="AA44" s="60">
        <f t="shared" si="4"/>
        <v>359.6</v>
      </c>
      <c r="AB44" s="60">
        <f t="shared" si="4"/>
        <v>359.6</v>
      </c>
      <c r="AC44" s="60">
        <f t="shared" si="4"/>
        <v>359.6</v>
      </c>
      <c r="AD44" s="60">
        <f t="shared" si="4"/>
        <v>359.6</v>
      </c>
      <c r="AE44" s="60">
        <f t="shared" si="4"/>
        <v>359.6</v>
      </c>
      <c r="AF44" s="60">
        <f t="shared" si="4"/>
        <v>359.6</v>
      </c>
      <c r="AG44" s="61">
        <f t="shared" si="4"/>
        <v>814.78000000000009</v>
      </c>
      <c r="AH44" s="47">
        <f t="shared" si="2"/>
        <v>363.5</v>
      </c>
      <c r="AI44" s="48">
        <f t="shared" si="3"/>
        <v>353.9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50</v>
      </c>
      <c r="I45" s="45">
        <v>50</v>
      </c>
      <c r="J45" s="45">
        <v>200</v>
      </c>
      <c r="K45" s="45">
        <v>245</v>
      </c>
      <c r="L45" s="45">
        <v>320</v>
      </c>
      <c r="M45" s="63">
        <v>240</v>
      </c>
      <c r="N45" s="63">
        <v>174</v>
      </c>
      <c r="O45" s="45">
        <v>180</v>
      </c>
      <c r="P45" s="45">
        <v>75.8</v>
      </c>
      <c r="Q45" s="45">
        <v>75.2</v>
      </c>
      <c r="R45" s="45">
        <v>50</v>
      </c>
      <c r="S45" s="45">
        <v>80</v>
      </c>
      <c r="T45" s="45">
        <v>75</v>
      </c>
      <c r="U45" s="45">
        <v>60</v>
      </c>
      <c r="V45" s="45">
        <v>70</v>
      </c>
      <c r="W45" s="45">
        <v>70</v>
      </c>
      <c r="X45" s="45">
        <v>60</v>
      </c>
      <c r="Y45" s="45">
        <v>220</v>
      </c>
      <c r="Z45" s="45">
        <v>350</v>
      </c>
      <c r="AA45" s="45">
        <v>280</v>
      </c>
      <c r="AB45" s="45">
        <v>240</v>
      </c>
      <c r="AC45" s="45">
        <v>40</v>
      </c>
      <c r="AD45" s="45">
        <v>70</v>
      </c>
      <c r="AE45" s="45">
        <v>60</v>
      </c>
      <c r="AF45" s="45">
        <v>20</v>
      </c>
      <c r="AG45" s="51">
        <v>456</v>
      </c>
      <c r="AH45" s="47">
        <f t="shared" si="2"/>
        <v>350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35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15</v>
      </c>
      <c r="Z47" s="67">
        <v>15.1</v>
      </c>
      <c r="AA47" s="67">
        <v>15.1</v>
      </c>
      <c r="AB47" s="67">
        <v>15.1</v>
      </c>
      <c r="AC47" s="67">
        <v>15.1</v>
      </c>
      <c r="AD47" s="67">
        <v>15.1</v>
      </c>
      <c r="AE47" s="67">
        <v>15.1</v>
      </c>
      <c r="AF47" s="67">
        <v>15.1</v>
      </c>
      <c r="AG47" s="68">
        <v>22.1</v>
      </c>
      <c r="AH47" s="47">
        <f t="shared" si="2"/>
        <v>15.1</v>
      </c>
      <c r="AI47" s="48">
        <f t="shared" si="3"/>
        <v>10.1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45.2</v>
      </c>
      <c r="C48" s="60">
        <f t="shared" si="5"/>
        <v>45.2</v>
      </c>
      <c r="D48" s="60">
        <f t="shared" si="5"/>
        <v>45.2</v>
      </c>
      <c r="E48" s="60">
        <f t="shared" si="5"/>
        <v>45.2</v>
      </c>
      <c r="F48" s="60">
        <f t="shared" si="5"/>
        <v>45.2</v>
      </c>
      <c r="G48" s="60">
        <f t="shared" si="5"/>
        <v>45.1</v>
      </c>
      <c r="H48" s="60">
        <f t="shared" si="5"/>
        <v>95.2</v>
      </c>
      <c r="I48" s="60">
        <f t="shared" si="5"/>
        <v>95.2</v>
      </c>
      <c r="J48" s="60">
        <f t="shared" si="5"/>
        <v>245.2</v>
      </c>
      <c r="K48" s="60">
        <f t="shared" si="5"/>
        <v>290.2</v>
      </c>
      <c r="L48" s="60">
        <f t="shared" si="5"/>
        <v>365.2</v>
      </c>
      <c r="M48" s="60">
        <f t="shared" si="5"/>
        <v>285.2</v>
      </c>
      <c r="N48" s="60">
        <f t="shared" si="5"/>
        <v>219.2</v>
      </c>
      <c r="O48" s="60">
        <f t="shared" si="5"/>
        <v>225.2</v>
      </c>
      <c r="P48" s="60">
        <f t="shared" si="5"/>
        <v>121</v>
      </c>
      <c r="Q48" s="60">
        <f t="shared" si="5"/>
        <v>120.4</v>
      </c>
      <c r="R48" s="60">
        <f t="shared" si="5"/>
        <v>95.2</v>
      </c>
      <c r="S48" s="60">
        <f t="shared" si="5"/>
        <v>118.2</v>
      </c>
      <c r="T48" s="60">
        <f t="shared" si="5"/>
        <v>113.2</v>
      </c>
      <c r="U48" s="60">
        <f t="shared" si="5"/>
        <v>98.2</v>
      </c>
      <c r="V48" s="60">
        <f t="shared" si="5"/>
        <v>108.2</v>
      </c>
      <c r="W48" s="60">
        <f t="shared" si="5"/>
        <v>108.2</v>
      </c>
      <c r="X48" s="60">
        <f t="shared" si="5"/>
        <v>98.2</v>
      </c>
      <c r="Y48" s="60">
        <f t="shared" si="5"/>
        <v>263</v>
      </c>
      <c r="Z48" s="60">
        <f t="shared" si="5"/>
        <v>393.1</v>
      </c>
      <c r="AA48" s="60">
        <f t="shared" si="5"/>
        <v>323.10000000000002</v>
      </c>
      <c r="AB48" s="60">
        <f t="shared" si="5"/>
        <v>283.10000000000002</v>
      </c>
      <c r="AC48" s="60">
        <f t="shared" si="5"/>
        <v>83.1</v>
      </c>
      <c r="AD48" s="60">
        <f t="shared" si="5"/>
        <v>113.1</v>
      </c>
      <c r="AE48" s="60">
        <f t="shared" si="5"/>
        <v>103.1</v>
      </c>
      <c r="AF48" s="60">
        <f t="shared" si="5"/>
        <v>63.1</v>
      </c>
      <c r="AG48" s="61">
        <f t="shared" si="5"/>
        <v>538.1</v>
      </c>
      <c r="AH48" s="47">
        <f t="shared" si="2"/>
        <v>393.1</v>
      </c>
      <c r="AI48" s="48">
        <f t="shared" si="3"/>
        <v>45.1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41.1</v>
      </c>
      <c r="I49" s="45">
        <v>41.7</v>
      </c>
      <c r="J49" s="45">
        <v>80</v>
      </c>
      <c r="K49" s="45">
        <v>108.3</v>
      </c>
      <c r="L49" s="45">
        <v>117.6</v>
      </c>
      <c r="M49" s="45">
        <v>103</v>
      </c>
      <c r="N49" s="45">
        <v>90</v>
      </c>
      <c r="O49" s="45">
        <v>90.4</v>
      </c>
      <c r="P49" s="45">
        <v>94</v>
      </c>
      <c r="Q49" s="45">
        <v>74</v>
      </c>
      <c r="R49" s="45">
        <v>72</v>
      </c>
      <c r="S49" s="45">
        <v>72</v>
      </c>
      <c r="T49" s="45">
        <v>81.3</v>
      </c>
      <c r="U49" s="45">
        <v>91.5</v>
      </c>
      <c r="V49" s="45">
        <v>65.2</v>
      </c>
      <c r="W49" s="45">
        <v>48</v>
      </c>
      <c r="X49" s="45">
        <v>47.4</v>
      </c>
      <c r="Y49" s="45">
        <v>140.9</v>
      </c>
      <c r="Z49" s="45">
        <v>84</v>
      </c>
      <c r="AA49" s="45">
        <v>71.599999999999994</v>
      </c>
      <c r="AB49" s="45">
        <v>60.7</v>
      </c>
      <c r="AC49" s="45">
        <v>60.7</v>
      </c>
      <c r="AD49" s="45">
        <v>60.7</v>
      </c>
      <c r="AE49" s="45">
        <v>60.7</v>
      </c>
      <c r="AF49" s="45">
        <v>30.4</v>
      </c>
      <c r="AG49" s="51">
        <v>144</v>
      </c>
      <c r="AH49" s="47">
        <f t="shared" si="2"/>
        <v>140.9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22.2</v>
      </c>
      <c r="E50" s="65">
        <v>0</v>
      </c>
      <c r="F50" s="65">
        <v>0</v>
      </c>
      <c r="G50" s="65">
        <v>23.4</v>
      </c>
      <c r="H50" s="65">
        <v>23.9</v>
      </c>
      <c r="I50" s="65">
        <v>30.7</v>
      </c>
      <c r="J50" s="65">
        <v>52.1</v>
      </c>
      <c r="K50" s="65">
        <v>53.8</v>
      </c>
      <c r="L50" s="65">
        <v>70.099999999999994</v>
      </c>
      <c r="M50" s="65">
        <v>60</v>
      </c>
      <c r="N50" s="65">
        <v>35</v>
      </c>
      <c r="O50" s="65">
        <v>35.5</v>
      </c>
      <c r="P50" s="65">
        <v>34</v>
      </c>
      <c r="Q50" s="65">
        <v>34</v>
      </c>
      <c r="R50" s="45">
        <v>24</v>
      </c>
      <c r="S50" s="45">
        <v>29.4</v>
      </c>
      <c r="T50" s="45">
        <v>36</v>
      </c>
      <c r="U50" s="45">
        <v>0</v>
      </c>
      <c r="V50" s="45">
        <v>0</v>
      </c>
      <c r="W50" s="45">
        <v>0</v>
      </c>
      <c r="X50" s="45">
        <v>0</v>
      </c>
      <c r="Y50" s="45">
        <v>69.5</v>
      </c>
      <c r="Z50" s="45">
        <v>71</v>
      </c>
      <c r="AA50" s="45">
        <v>63.2</v>
      </c>
      <c r="AB50" s="45">
        <v>60</v>
      </c>
      <c r="AC50" s="45">
        <v>47</v>
      </c>
      <c r="AD50" s="45">
        <v>47</v>
      </c>
      <c r="AE50" s="45">
        <v>24.6</v>
      </c>
      <c r="AF50" s="45">
        <v>25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32</v>
      </c>
      <c r="C51" s="65">
        <v>32</v>
      </c>
      <c r="D51" s="65">
        <v>17.2</v>
      </c>
      <c r="E51" s="65">
        <v>0</v>
      </c>
      <c r="F51" s="65">
        <v>0</v>
      </c>
      <c r="G51" s="65">
        <v>0</v>
      </c>
      <c r="H51" s="65">
        <v>0</v>
      </c>
      <c r="I51" s="65">
        <v>17.100000000000001</v>
      </c>
      <c r="J51" s="65">
        <v>45.8</v>
      </c>
      <c r="K51" s="65">
        <v>40.9</v>
      </c>
      <c r="L51" s="65">
        <v>45.5</v>
      </c>
      <c r="M51" s="65">
        <v>35</v>
      </c>
      <c r="N51" s="65">
        <v>32</v>
      </c>
      <c r="O51" s="65">
        <v>32.6</v>
      </c>
      <c r="P51" s="65">
        <v>47</v>
      </c>
      <c r="Q51" s="65">
        <v>34</v>
      </c>
      <c r="R51" s="45">
        <v>22</v>
      </c>
      <c r="S51" s="45">
        <v>22.3</v>
      </c>
      <c r="T51" s="45">
        <v>21.5</v>
      </c>
      <c r="U51" s="45">
        <v>21.5</v>
      </c>
      <c r="V51" s="45">
        <v>45.5</v>
      </c>
      <c r="W51" s="45">
        <v>46</v>
      </c>
      <c r="X51" s="45">
        <v>68.099999999999994</v>
      </c>
      <c r="Y51" s="45">
        <v>68.900000000000006</v>
      </c>
      <c r="Z51" s="45">
        <v>62.1</v>
      </c>
      <c r="AA51" s="45">
        <v>64.7</v>
      </c>
      <c r="AB51" s="45">
        <v>51.6</v>
      </c>
      <c r="AC51" s="45">
        <v>51.6</v>
      </c>
      <c r="AD51" s="45">
        <v>51.6</v>
      </c>
      <c r="AE51" s="45">
        <v>51.6</v>
      </c>
      <c r="AF51" s="45">
        <v>33</v>
      </c>
      <c r="AG51" s="54">
        <v>69</v>
      </c>
      <c r="AH51" s="47">
        <f t="shared" si="2"/>
        <v>68.900000000000006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42</v>
      </c>
      <c r="C52" s="56">
        <v>42</v>
      </c>
      <c r="D52" s="56">
        <v>42</v>
      </c>
      <c r="E52" s="56">
        <v>44.3</v>
      </c>
      <c r="F52" s="56">
        <v>43.3</v>
      </c>
      <c r="G52" s="56">
        <v>42.3</v>
      </c>
      <c r="H52" s="56">
        <v>42.3</v>
      </c>
      <c r="I52" s="56">
        <v>42.3</v>
      </c>
      <c r="J52" s="56">
        <v>42.3</v>
      </c>
      <c r="K52" s="56">
        <v>42.3</v>
      </c>
      <c r="L52" s="56">
        <v>42.3</v>
      </c>
      <c r="M52" s="65">
        <v>42</v>
      </c>
      <c r="N52" s="65">
        <v>42</v>
      </c>
      <c r="O52" s="65">
        <v>42.8</v>
      </c>
      <c r="P52" s="65">
        <v>42.8</v>
      </c>
      <c r="Q52" s="65">
        <v>42.8</v>
      </c>
      <c r="R52" s="65">
        <v>42.8</v>
      </c>
      <c r="S52" s="65">
        <v>42.8</v>
      </c>
      <c r="T52" s="45">
        <v>42.8</v>
      </c>
      <c r="U52" s="45">
        <v>42.8</v>
      </c>
      <c r="V52" s="45">
        <v>42.8</v>
      </c>
      <c r="W52" s="45">
        <v>42.8</v>
      </c>
      <c r="X52" s="65">
        <v>42.8</v>
      </c>
      <c r="Y52" s="65">
        <v>42.8</v>
      </c>
      <c r="Z52" s="65">
        <v>42.8</v>
      </c>
      <c r="AA52" s="65">
        <v>42.8</v>
      </c>
      <c r="AB52" s="65">
        <v>40.6</v>
      </c>
      <c r="AC52" s="65">
        <v>40.6</v>
      </c>
      <c r="AD52" s="65">
        <v>40.6</v>
      </c>
      <c r="AE52" s="65">
        <v>40.6</v>
      </c>
      <c r="AF52" s="65">
        <v>40.6</v>
      </c>
      <c r="AG52" s="54">
        <v>60</v>
      </c>
      <c r="AH52" s="47">
        <f t="shared" si="2"/>
        <v>44.3</v>
      </c>
      <c r="AI52" s="48">
        <f t="shared" si="3"/>
        <v>40.6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13</v>
      </c>
      <c r="H53" s="56">
        <v>13</v>
      </c>
      <c r="I53" s="56">
        <v>26</v>
      </c>
      <c r="J53" s="56">
        <v>30</v>
      </c>
      <c r="K53" s="56">
        <v>30</v>
      </c>
      <c r="L53" s="56">
        <v>28</v>
      </c>
      <c r="M53" s="65">
        <v>13</v>
      </c>
      <c r="N53" s="65">
        <v>0</v>
      </c>
      <c r="O53" s="65">
        <v>0</v>
      </c>
      <c r="P53" s="65">
        <v>0</v>
      </c>
      <c r="Q53" s="65">
        <v>15</v>
      </c>
      <c r="R53" s="65">
        <v>15</v>
      </c>
      <c r="S53" s="65">
        <v>15</v>
      </c>
      <c r="T53" s="45">
        <v>15</v>
      </c>
      <c r="U53" s="45">
        <v>15</v>
      </c>
      <c r="V53" s="45">
        <v>15</v>
      </c>
      <c r="W53" s="45">
        <v>0</v>
      </c>
      <c r="X53" s="65">
        <v>0</v>
      </c>
      <c r="Y53" s="65">
        <v>15</v>
      </c>
      <c r="Z53" s="65">
        <v>15</v>
      </c>
      <c r="AA53" s="65">
        <v>15</v>
      </c>
      <c r="AB53" s="65">
        <v>15</v>
      </c>
      <c r="AC53" s="65">
        <v>15</v>
      </c>
      <c r="AD53" s="65">
        <v>15</v>
      </c>
      <c r="AE53" s="65">
        <v>15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65">
        <v>0</v>
      </c>
      <c r="Q54" s="65">
        <v>0</v>
      </c>
      <c r="R54" s="65">
        <v>0</v>
      </c>
      <c r="S54" s="65">
        <v>8</v>
      </c>
      <c r="T54" s="45">
        <v>6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13</v>
      </c>
      <c r="C55" s="65">
        <v>13</v>
      </c>
      <c r="D55" s="65">
        <v>13</v>
      </c>
      <c r="E55" s="65">
        <v>13</v>
      </c>
      <c r="F55" s="65">
        <v>13</v>
      </c>
      <c r="G55" s="65">
        <v>13</v>
      </c>
      <c r="H55" s="65">
        <v>13</v>
      </c>
      <c r="I55" s="65">
        <v>13</v>
      </c>
      <c r="J55" s="65">
        <v>13</v>
      </c>
      <c r="K55" s="65">
        <v>13</v>
      </c>
      <c r="L55" s="65">
        <v>13</v>
      </c>
      <c r="M55" s="65">
        <v>13</v>
      </c>
      <c r="N55" s="65">
        <v>13</v>
      </c>
      <c r="O55" s="65">
        <v>13</v>
      </c>
      <c r="P55" s="65">
        <v>13</v>
      </c>
      <c r="Q55" s="65">
        <v>13</v>
      </c>
      <c r="R55" s="65">
        <v>13</v>
      </c>
      <c r="S55" s="65">
        <v>13</v>
      </c>
      <c r="T55" s="65">
        <v>13</v>
      </c>
      <c r="U55" s="65">
        <v>13</v>
      </c>
      <c r="V55" s="65">
        <v>13</v>
      </c>
      <c r="W55" s="65">
        <v>13</v>
      </c>
      <c r="X55" s="65">
        <v>13.8</v>
      </c>
      <c r="Y55" s="65">
        <v>13.8</v>
      </c>
      <c r="Z55" s="65">
        <v>13.8</v>
      </c>
      <c r="AA55" s="65">
        <v>13.8</v>
      </c>
      <c r="AB55" s="65">
        <v>13.8</v>
      </c>
      <c r="AC55" s="65">
        <v>13.8</v>
      </c>
      <c r="AD55" s="65">
        <v>13.8</v>
      </c>
      <c r="AE55" s="65">
        <v>13.8</v>
      </c>
      <c r="AF55" s="65">
        <v>13.8</v>
      </c>
      <c r="AG55" s="54">
        <v>24</v>
      </c>
      <c r="AH55" s="47">
        <f t="shared" si="2"/>
        <v>13.8</v>
      </c>
      <c r="AI55" s="48">
        <f t="shared" si="3"/>
        <v>13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10.1</v>
      </c>
      <c r="C57" s="65">
        <v>10.1</v>
      </c>
      <c r="D57" s="65">
        <v>10.1</v>
      </c>
      <c r="E57" s="65">
        <v>10.1</v>
      </c>
      <c r="F57" s="65">
        <v>10.1</v>
      </c>
      <c r="G57" s="65">
        <v>10.1</v>
      </c>
      <c r="H57" s="65">
        <v>10.1</v>
      </c>
      <c r="I57" s="65">
        <v>10.1</v>
      </c>
      <c r="J57" s="65">
        <v>10.1</v>
      </c>
      <c r="K57" s="65">
        <v>10.1</v>
      </c>
      <c r="L57" s="65">
        <v>10.1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</v>
      </c>
      <c r="U57" s="65">
        <v>10</v>
      </c>
      <c r="V57" s="65">
        <v>10</v>
      </c>
      <c r="W57" s="65">
        <v>10</v>
      </c>
      <c r="X57" s="65">
        <v>10</v>
      </c>
      <c r="Y57" s="65">
        <v>10</v>
      </c>
      <c r="Z57" s="65">
        <v>10</v>
      </c>
      <c r="AA57" s="65">
        <v>10</v>
      </c>
      <c r="AB57" s="65">
        <v>10</v>
      </c>
      <c r="AC57" s="65">
        <v>10</v>
      </c>
      <c r="AD57" s="65">
        <v>10</v>
      </c>
      <c r="AE57" s="65">
        <v>10</v>
      </c>
      <c r="AF57" s="65">
        <v>10</v>
      </c>
      <c r="AG57" s="54">
        <v>14.1</v>
      </c>
      <c r="AH57" s="47">
        <f t="shared" si="2"/>
        <v>10.1</v>
      </c>
      <c r="AI57" s="48">
        <f t="shared" si="3"/>
        <v>10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116.24000000000001</v>
      </c>
      <c r="C62" s="60">
        <f t="shared" si="6"/>
        <v>116.24000000000001</v>
      </c>
      <c r="D62" s="60">
        <f t="shared" si="6"/>
        <v>123.64000000000001</v>
      </c>
      <c r="E62" s="60">
        <f t="shared" si="6"/>
        <v>86.54</v>
      </c>
      <c r="F62" s="60">
        <f t="shared" si="6"/>
        <v>85.54</v>
      </c>
      <c r="G62" s="60">
        <f t="shared" si="6"/>
        <v>120.94</v>
      </c>
      <c r="H62" s="60">
        <f t="shared" si="6"/>
        <v>162.53999999999996</v>
      </c>
      <c r="I62" s="60">
        <f t="shared" si="6"/>
        <v>200.03999999999996</v>
      </c>
      <c r="J62" s="60">
        <f t="shared" si="6"/>
        <v>292.44</v>
      </c>
      <c r="K62" s="60">
        <f t="shared" si="6"/>
        <v>317.54000000000002</v>
      </c>
      <c r="L62" s="60">
        <f t="shared" si="6"/>
        <v>345.74</v>
      </c>
      <c r="M62" s="60">
        <f t="shared" si="6"/>
        <v>295.24</v>
      </c>
      <c r="N62" s="60">
        <f t="shared" si="6"/>
        <v>241.23999999999995</v>
      </c>
      <c r="O62" s="60">
        <f t="shared" si="6"/>
        <v>243.53999999999996</v>
      </c>
      <c r="P62" s="60">
        <f t="shared" si="6"/>
        <v>260.04000000000002</v>
      </c>
      <c r="Q62" s="60">
        <f t="shared" si="6"/>
        <v>242.03999999999996</v>
      </c>
      <c r="R62" s="60">
        <f t="shared" si="6"/>
        <v>218.03999999999996</v>
      </c>
      <c r="S62" s="60">
        <f t="shared" si="6"/>
        <v>231.73999999999995</v>
      </c>
      <c r="T62" s="60">
        <f t="shared" si="6"/>
        <v>244.73999999999998</v>
      </c>
      <c r="U62" s="60">
        <f t="shared" si="6"/>
        <v>212.93999999999997</v>
      </c>
      <c r="V62" s="60">
        <f t="shared" si="6"/>
        <v>210.63999999999996</v>
      </c>
      <c r="W62" s="60">
        <f t="shared" si="6"/>
        <v>178.93999999999997</v>
      </c>
      <c r="X62" s="60">
        <f t="shared" si="6"/>
        <v>201.23999999999998</v>
      </c>
      <c r="Y62" s="60">
        <f t="shared" si="6"/>
        <v>380.04</v>
      </c>
      <c r="Z62" s="60">
        <f t="shared" si="6"/>
        <v>317.83999999999997</v>
      </c>
      <c r="AA62" s="60">
        <f t="shared" si="6"/>
        <v>300.24</v>
      </c>
      <c r="AB62" s="60">
        <f t="shared" si="6"/>
        <v>270.83999999999997</v>
      </c>
      <c r="AC62" s="60">
        <f t="shared" si="6"/>
        <v>257.83999999999997</v>
      </c>
      <c r="AD62" s="60">
        <f t="shared" si="6"/>
        <v>257.83999999999997</v>
      </c>
      <c r="AE62" s="60">
        <f t="shared" si="6"/>
        <v>235.43999999999997</v>
      </c>
      <c r="AF62" s="60">
        <f t="shared" si="6"/>
        <v>171.93999999999997</v>
      </c>
      <c r="AG62" s="61">
        <f t="shared" si="6"/>
        <v>489.91</v>
      </c>
      <c r="AH62" s="47">
        <f t="shared" si="2"/>
        <v>380.04</v>
      </c>
      <c r="AI62" s="48">
        <f t="shared" si="3"/>
        <v>85.54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</v>
      </c>
      <c r="J63" s="45">
        <v>30</v>
      </c>
      <c r="K63" s="45">
        <v>20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60</v>
      </c>
      <c r="R63" s="45">
        <v>60</v>
      </c>
      <c r="S63" s="45">
        <v>60</v>
      </c>
      <c r="T63" s="45">
        <v>50</v>
      </c>
      <c r="U63" s="45">
        <v>60</v>
      </c>
      <c r="V63" s="45">
        <v>40</v>
      </c>
      <c r="W63" s="45">
        <v>30</v>
      </c>
      <c r="X63" s="45">
        <v>30</v>
      </c>
      <c r="Y63" s="45">
        <v>60</v>
      </c>
      <c r="Z63" s="45">
        <v>30</v>
      </c>
      <c r="AA63" s="45">
        <v>20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11</v>
      </c>
      <c r="J64" s="65">
        <v>13.5</v>
      </c>
      <c r="K64" s="65">
        <v>14.1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28</v>
      </c>
      <c r="R64" s="45">
        <v>28.5</v>
      </c>
      <c r="S64" s="65">
        <v>28.3</v>
      </c>
      <c r="T64" s="65">
        <v>18.5</v>
      </c>
      <c r="U64" s="65">
        <v>27.3</v>
      </c>
      <c r="V64" s="65">
        <v>20.5</v>
      </c>
      <c r="W64" s="65">
        <v>20.5</v>
      </c>
      <c r="X64" s="65">
        <v>14</v>
      </c>
      <c r="Y64" s="65">
        <v>30.4</v>
      </c>
      <c r="Z64" s="65">
        <v>11.4</v>
      </c>
      <c r="AA64" s="65">
        <v>14.6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30.4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5</v>
      </c>
      <c r="J65" s="67">
        <v>6</v>
      </c>
      <c r="K65" s="67">
        <v>5.0999999999999996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10.5</v>
      </c>
      <c r="R65" s="45">
        <v>10.4</v>
      </c>
      <c r="S65" s="67">
        <v>10.3</v>
      </c>
      <c r="T65" s="67">
        <v>6.7</v>
      </c>
      <c r="U65" s="67">
        <v>9.9</v>
      </c>
      <c r="V65" s="67">
        <v>7.5</v>
      </c>
      <c r="W65" s="67">
        <v>7.5</v>
      </c>
      <c r="X65" s="67">
        <v>7.5</v>
      </c>
      <c r="Y65" s="67">
        <v>11.1</v>
      </c>
      <c r="Z65" s="67">
        <v>4.2</v>
      </c>
      <c r="AA65" s="67">
        <v>5.3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11.1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98.5</v>
      </c>
      <c r="R66" s="60">
        <f t="shared" si="7"/>
        <v>98.9</v>
      </c>
      <c r="S66" s="60">
        <f t="shared" si="7"/>
        <v>98.6</v>
      </c>
      <c r="T66" s="60">
        <f t="shared" si="7"/>
        <v>75.2</v>
      </c>
      <c r="U66" s="60">
        <f t="shared" si="7"/>
        <v>97.2</v>
      </c>
      <c r="V66" s="60">
        <f t="shared" si="7"/>
        <v>68</v>
      </c>
      <c r="W66" s="60">
        <f t="shared" si="7"/>
        <v>58</v>
      </c>
      <c r="X66" s="60">
        <f t="shared" si="7"/>
        <v>51.5</v>
      </c>
      <c r="Y66" s="60">
        <f t="shared" si="7"/>
        <v>101.5</v>
      </c>
      <c r="Z66" s="60">
        <f t="shared" si="7"/>
        <v>45.6</v>
      </c>
      <c r="AA66" s="60">
        <f t="shared" si="7"/>
        <v>39.9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101.5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60</v>
      </c>
      <c r="C67" s="45">
        <v>60</v>
      </c>
      <c r="D67" s="45">
        <v>40</v>
      </c>
      <c r="E67" s="45">
        <v>64.3</v>
      </c>
      <c r="F67" s="45">
        <v>65.8</v>
      </c>
      <c r="G67" s="45">
        <v>58.7</v>
      </c>
      <c r="H67" s="45">
        <v>61.2</v>
      </c>
      <c r="I67" s="45">
        <v>65.400000000000006</v>
      </c>
      <c r="J67" s="45">
        <v>56</v>
      </c>
      <c r="K67" s="45">
        <v>50.2</v>
      </c>
      <c r="L67" s="45">
        <v>40.799999999999997</v>
      </c>
      <c r="M67" s="45">
        <v>50.6</v>
      </c>
      <c r="N67" s="45">
        <v>54</v>
      </c>
      <c r="O67" s="45">
        <v>54.5</v>
      </c>
      <c r="P67" s="45">
        <v>61.3</v>
      </c>
      <c r="Q67" s="45">
        <v>68</v>
      </c>
      <c r="R67" s="45">
        <v>53</v>
      </c>
      <c r="S67" s="45">
        <v>57.1</v>
      </c>
      <c r="T67" s="45">
        <v>70.2</v>
      </c>
      <c r="U67" s="45">
        <v>74.099999999999994</v>
      </c>
      <c r="V67" s="45">
        <v>61.2</v>
      </c>
      <c r="W67" s="45">
        <v>55</v>
      </c>
      <c r="X67" s="45">
        <v>59.4</v>
      </c>
      <c r="Y67" s="45">
        <v>61.4</v>
      </c>
      <c r="Z67" s="45">
        <v>36.200000000000003</v>
      </c>
      <c r="AA67" s="45">
        <v>37.1</v>
      </c>
      <c r="AB67" s="45">
        <v>40</v>
      </c>
      <c r="AC67" s="45">
        <v>64</v>
      </c>
      <c r="AD67" s="45">
        <v>59.2</v>
      </c>
      <c r="AE67" s="45">
        <v>54</v>
      </c>
      <c r="AF67" s="45">
        <v>54</v>
      </c>
      <c r="AG67" s="51"/>
      <c r="AH67" s="47">
        <f t="shared" si="2"/>
        <v>74.099999999999994</v>
      </c>
      <c r="AI67" s="48">
        <f t="shared" si="3"/>
        <v>36.200000000000003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312</v>
      </c>
      <c r="C69" s="65">
        <v>338</v>
      </c>
      <c r="D69" s="65">
        <v>311</v>
      </c>
      <c r="E69" s="65">
        <v>345</v>
      </c>
      <c r="F69" s="65">
        <v>342.4</v>
      </c>
      <c r="G69" s="65">
        <v>356.5</v>
      </c>
      <c r="H69" s="65">
        <v>337.2</v>
      </c>
      <c r="I69" s="65">
        <v>333.7</v>
      </c>
      <c r="J69" s="65">
        <v>210</v>
      </c>
      <c r="K69" s="65">
        <v>169</v>
      </c>
      <c r="L69" s="65">
        <v>105</v>
      </c>
      <c r="M69" s="65">
        <v>160</v>
      </c>
      <c r="N69" s="65">
        <v>194</v>
      </c>
      <c r="O69" s="65">
        <v>165.8</v>
      </c>
      <c r="P69" s="65">
        <v>355</v>
      </c>
      <c r="Q69" s="65">
        <v>333</v>
      </c>
      <c r="R69" s="65">
        <v>353</v>
      </c>
      <c r="S69" s="65">
        <v>340</v>
      </c>
      <c r="T69" s="65">
        <v>348</v>
      </c>
      <c r="U69" s="65">
        <v>341.6</v>
      </c>
      <c r="V69" s="65">
        <v>309</v>
      </c>
      <c r="W69" s="65">
        <v>335</v>
      </c>
      <c r="X69" s="65">
        <v>355.4</v>
      </c>
      <c r="Y69" s="65">
        <v>112.1</v>
      </c>
      <c r="Z69" s="65">
        <v>61.4</v>
      </c>
      <c r="AA69" s="65">
        <v>85</v>
      </c>
      <c r="AB69" s="65">
        <v>134</v>
      </c>
      <c r="AC69" s="65">
        <v>338</v>
      </c>
      <c r="AD69" s="65">
        <v>338</v>
      </c>
      <c r="AE69" s="65">
        <v>316</v>
      </c>
      <c r="AF69" s="65">
        <v>320</v>
      </c>
      <c r="AG69" s="75"/>
      <c r="AH69" s="47">
        <f t="shared" si="2"/>
        <v>356.5</v>
      </c>
      <c r="AI69" s="48">
        <f t="shared" si="3"/>
        <v>61.4</v>
      </c>
      <c r="AK69" s="49"/>
    </row>
    <row r="70" spans="1:40" x14ac:dyDescent="0.25">
      <c r="A70" s="53" t="s">
        <v>78</v>
      </c>
      <c r="B70" s="76">
        <v>62</v>
      </c>
      <c r="C70" s="76">
        <v>58</v>
      </c>
      <c r="D70" s="76">
        <v>64</v>
      </c>
      <c r="E70" s="76">
        <v>58</v>
      </c>
      <c r="F70" s="76">
        <v>56</v>
      </c>
      <c r="G70" s="76">
        <v>63.6</v>
      </c>
      <c r="H70" s="76">
        <v>64.3</v>
      </c>
      <c r="I70" s="76">
        <v>65.599999999999994</v>
      </c>
      <c r="J70" s="76">
        <v>58</v>
      </c>
      <c r="K70" s="76">
        <v>65.900000000000006</v>
      </c>
      <c r="L70" s="76">
        <v>62.9</v>
      </c>
      <c r="M70" s="76">
        <v>59</v>
      </c>
      <c r="N70" s="76">
        <v>60.9</v>
      </c>
      <c r="O70" s="76">
        <v>58.6</v>
      </c>
      <c r="P70" s="76">
        <v>58</v>
      </c>
      <c r="Q70" s="76">
        <v>60</v>
      </c>
      <c r="R70" s="76">
        <v>62</v>
      </c>
      <c r="S70" s="76">
        <v>62</v>
      </c>
      <c r="T70" s="76">
        <v>64.8</v>
      </c>
      <c r="U70" s="76">
        <v>67.7</v>
      </c>
      <c r="V70" s="76">
        <v>49.6</v>
      </c>
      <c r="W70" s="76">
        <v>49.6</v>
      </c>
      <c r="X70" s="65">
        <v>52</v>
      </c>
      <c r="Y70" s="65">
        <v>60.8</v>
      </c>
      <c r="Z70" s="65">
        <v>60.8</v>
      </c>
      <c r="AA70" s="65">
        <v>57</v>
      </c>
      <c r="AB70" s="65">
        <v>54.2</v>
      </c>
      <c r="AC70" s="65">
        <v>51</v>
      </c>
      <c r="AD70" s="65">
        <v>55.7</v>
      </c>
      <c r="AE70" s="65">
        <v>47.3</v>
      </c>
      <c r="AF70" s="65">
        <v>60.2</v>
      </c>
      <c r="AG70" s="75"/>
      <c r="AH70" s="47">
        <f t="shared" si="2"/>
        <v>67.7</v>
      </c>
      <c r="AI70" s="48">
        <f t="shared" si="3"/>
        <v>47.3</v>
      </c>
      <c r="AK70" s="49"/>
    </row>
    <row r="71" spans="1:40" x14ac:dyDescent="0.25">
      <c r="A71" s="53" t="s">
        <v>79</v>
      </c>
      <c r="B71" s="45">
        <v>22</v>
      </c>
      <c r="C71" s="45">
        <v>22</v>
      </c>
      <c r="D71" s="45">
        <v>22</v>
      </c>
      <c r="E71" s="45">
        <v>22</v>
      </c>
      <c r="F71" s="45">
        <v>22</v>
      </c>
      <c r="G71" s="45">
        <v>22</v>
      </c>
      <c r="H71" s="45">
        <v>22</v>
      </c>
      <c r="I71" s="45">
        <v>22</v>
      </c>
      <c r="J71" s="45">
        <v>22</v>
      </c>
      <c r="K71" s="45">
        <v>22</v>
      </c>
      <c r="L71" s="45">
        <v>60</v>
      </c>
      <c r="M71" s="45">
        <v>60</v>
      </c>
      <c r="N71" s="45">
        <v>68</v>
      </c>
      <c r="O71" s="45">
        <v>72</v>
      </c>
      <c r="P71" s="45">
        <v>25</v>
      </c>
      <c r="Q71" s="45">
        <v>25</v>
      </c>
      <c r="R71" s="45">
        <v>25</v>
      </c>
      <c r="S71" s="45">
        <v>25</v>
      </c>
      <c r="T71" s="45">
        <v>25</v>
      </c>
      <c r="U71" s="45">
        <v>25</v>
      </c>
      <c r="V71" s="45">
        <v>25</v>
      </c>
      <c r="W71" s="45">
        <v>25</v>
      </c>
      <c r="X71" s="45">
        <v>65</v>
      </c>
      <c r="Y71" s="45">
        <v>70</v>
      </c>
      <c r="Z71" s="45">
        <v>70</v>
      </c>
      <c r="AA71" s="45">
        <v>70</v>
      </c>
      <c r="AB71" s="45">
        <v>70</v>
      </c>
      <c r="AC71" s="45">
        <v>24</v>
      </c>
      <c r="AD71" s="45">
        <v>24</v>
      </c>
      <c r="AE71" s="45">
        <v>24</v>
      </c>
      <c r="AF71" s="45">
        <v>24</v>
      </c>
      <c r="AG71" s="75"/>
      <c r="AH71" s="47">
        <f t="shared" si="2"/>
        <v>72</v>
      </c>
      <c r="AI71" s="48">
        <f t="shared" si="3"/>
        <v>22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461</v>
      </c>
      <c r="C78" s="60">
        <f t="shared" si="10"/>
        <v>483</v>
      </c>
      <c r="D78" s="60">
        <f t="shared" si="10"/>
        <v>442</v>
      </c>
      <c r="E78" s="60">
        <f t="shared" si="10"/>
        <v>494.3</v>
      </c>
      <c r="F78" s="60">
        <f t="shared" si="10"/>
        <v>491.2</v>
      </c>
      <c r="G78" s="60">
        <f t="shared" si="10"/>
        <v>505.8</v>
      </c>
      <c r="H78" s="60">
        <f t="shared" si="10"/>
        <v>489.7</v>
      </c>
      <c r="I78" s="60">
        <f t="shared" si="10"/>
        <v>491.70000000000005</v>
      </c>
      <c r="J78" s="60">
        <f t="shared" si="10"/>
        <v>351</v>
      </c>
      <c r="K78" s="60">
        <f t="shared" si="10"/>
        <v>312.10000000000002</v>
      </c>
      <c r="L78" s="60">
        <f t="shared" si="10"/>
        <v>273.70000000000005</v>
      </c>
      <c r="M78" s="60">
        <f t="shared" si="10"/>
        <v>334.6</v>
      </c>
      <c r="N78" s="60">
        <f t="shared" si="10"/>
        <v>381.9</v>
      </c>
      <c r="O78" s="60">
        <f t="shared" si="10"/>
        <v>355.90000000000003</v>
      </c>
      <c r="P78" s="60">
        <f t="shared" si="10"/>
        <v>504.3</v>
      </c>
      <c r="Q78" s="60">
        <f t="shared" si="10"/>
        <v>491</v>
      </c>
      <c r="R78" s="60">
        <f t="shared" si="10"/>
        <v>498</v>
      </c>
      <c r="S78" s="60">
        <f t="shared" si="10"/>
        <v>489.1</v>
      </c>
      <c r="T78" s="60">
        <f t="shared" si="10"/>
        <v>513</v>
      </c>
      <c r="U78" s="60">
        <f t="shared" si="10"/>
        <v>513.40000000000009</v>
      </c>
      <c r="V78" s="60">
        <f t="shared" si="10"/>
        <v>449.8</v>
      </c>
      <c r="W78" s="60">
        <f t="shared" si="10"/>
        <v>469.6</v>
      </c>
      <c r="X78" s="60">
        <f t="shared" si="10"/>
        <v>536.79999999999995</v>
      </c>
      <c r="Y78" s="60">
        <f t="shared" si="10"/>
        <v>309.3</v>
      </c>
      <c r="Z78" s="60">
        <f t="shared" si="10"/>
        <v>233.39999999999998</v>
      </c>
      <c r="AA78" s="60">
        <f t="shared" si="10"/>
        <v>254.1</v>
      </c>
      <c r="AB78" s="60">
        <f t="shared" si="10"/>
        <v>303.2</v>
      </c>
      <c r="AC78" s="60">
        <f t="shared" si="10"/>
        <v>482</v>
      </c>
      <c r="AD78" s="60">
        <f t="shared" si="10"/>
        <v>481.9</v>
      </c>
      <c r="AE78" s="60">
        <f t="shared" si="10"/>
        <v>446.3</v>
      </c>
      <c r="AF78" s="60">
        <f t="shared" si="10"/>
        <v>463.2</v>
      </c>
      <c r="AG78" s="88">
        <f>SUM(AG67:AG77)</f>
        <v>0</v>
      </c>
      <c r="AH78" s="47">
        <f t="shared" si="8"/>
        <v>536.79999999999995</v>
      </c>
      <c r="AI78" s="48">
        <f t="shared" si="9"/>
        <v>233.39999999999998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976.33999999999992</v>
      </c>
      <c r="C83" s="95">
        <f t="shared" ref="C83:AG83" si="11">C44+C48+C66+C62+C78+C82</f>
        <v>998.33999999999992</v>
      </c>
      <c r="D83" s="95">
        <f t="shared" si="11"/>
        <v>964.74</v>
      </c>
      <c r="E83" s="95">
        <f t="shared" si="11"/>
        <v>989.1400000000001</v>
      </c>
      <c r="F83" s="95">
        <f t="shared" si="11"/>
        <v>985.04</v>
      </c>
      <c r="G83" s="95">
        <f t="shared" si="11"/>
        <v>1034.94</v>
      </c>
      <c r="H83" s="95">
        <f t="shared" si="11"/>
        <v>1110.54</v>
      </c>
      <c r="I83" s="95">
        <f t="shared" si="11"/>
        <v>1144.6400000000001</v>
      </c>
      <c r="J83" s="95">
        <f t="shared" si="11"/>
        <v>1246.3400000000001</v>
      </c>
      <c r="K83" s="95">
        <f t="shared" si="11"/>
        <v>1277.54</v>
      </c>
      <c r="L83" s="95">
        <f t="shared" si="11"/>
        <v>1342.3400000000001</v>
      </c>
      <c r="M83" s="95">
        <f t="shared" si="11"/>
        <v>1272.7400000000002</v>
      </c>
      <c r="N83" s="95">
        <f t="shared" si="11"/>
        <v>1200.04</v>
      </c>
      <c r="O83" s="95">
        <f t="shared" si="11"/>
        <v>1182.3400000000001</v>
      </c>
      <c r="P83" s="95">
        <f t="shared" si="11"/>
        <v>1243.04</v>
      </c>
      <c r="Q83" s="95">
        <f t="shared" si="11"/>
        <v>1309.6399999999999</v>
      </c>
      <c r="R83" s="95">
        <f t="shared" si="11"/>
        <v>1271.6399999999999</v>
      </c>
      <c r="S83" s="95">
        <f t="shared" si="11"/>
        <v>1301.1399999999999</v>
      </c>
      <c r="T83" s="95">
        <f t="shared" si="11"/>
        <v>1306.74</v>
      </c>
      <c r="U83" s="95">
        <f t="shared" si="11"/>
        <v>1281.3400000000001</v>
      </c>
      <c r="V83" s="95">
        <f t="shared" si="11"/>
        <v>1196.24</v>
      </c>
      <c r="W83" s="95">
        <f t="shared" si="11"/>
        <v>1174.3399999999999</v>
      </c>
      <c r="X83" s="95">
        <f t="shared" si="11"/>
        <v>1247.3399999999999</v>
      </c>
      <c r="Y83" s="95">
        <f t="shared" si="11"/>
        <v>1413.44</v>
      </c>
      <c r="Z83" s="95">
        <f t="shared" si="11"/>
        <v>1349.54</v>
      </c>
      <c r="AA83" s="95">
        <f t="shared" si="11"/>
        <v>1276.94</v>
      </c>
      <c r="AB83" s="95">
        <f t="shared" si="11"/>
        <v>1216.74</v>
      </c>
      <c r="AC83" s="95">
        <f t="shared" si="11"/>
        <v>1182.54</v>
      </c>
      <c r="AD83" s="95">
        <f t="shared" si="11"/>
        <v>1212.44</v>
      </c>
      <c r="AE83" s="95">
        <f t="shared" si="11"/>
        <v>1144.44</v>
      </c>
      <c r="AF83" s="95">
        <f t="shared" si="11"/>
        <v>1057.8399999999999</v>
      </c>
      <c r="AG83" s="61">
        <f t="shared" si="11"/>
        <v>2004.1900000000003</v>
      </c>
      <c r="AH83" s="47">
        <f>MAX(B83:AF83)</f>
        <v>1413.44</v>
      </c>
      <c r="AI83" s="48">
        <f>MIN(B83:AF83)</f>
        <v>964.74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150</v>
      </c>
      <c r="M84" s="97">
        <v>150</v>
      </c>
      <c r="N84" s="97">
        <v>150</v>
      </c>
      <c r="O84" s="97">
        <v>150</v>
      </c>
      <c r="P84" s="97"/>
      <c r="Q84" s="97"/>
      <c r="R84" s="97"/>
      <c r="S84" s="97"/>
      <c r="T84" s="97"/>
      <c r="U84" s="97"/>
      <c r="V84" s="97"/>
      <c r="W84" s="97">
        <v>150</v>
      </c>
      <c r="X84" s="97">
        <v>150</v>
      </c>
      <c r="Y84" s="97">
        <v>150</v>
      </c>
      <c r="Z84" s="97">
        <v>150</v>
      </c>
      <c r="AA84" s="97">
        <v>150</v>
      </c>
      <c r="AB84" s="97">
        <v>150</v>
      </c>
      <c r="AC84" s="97"/>
      <c r="AD84" s="97"/>
      <c r="AE84" s="97"/>
      <c r="AF84" s="97"/>
      <c r="AG84" s="88"/>
      <c r="AH84" s="47">
        <f t="shared" si="8"/>
        <v>150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976.33999999999992</v>
      </c>
      <c r="C85" s="95">
        <f t="shared" ref="C85:AF85" si="12">C83+C84</f>
        <v>998.33999999999992</v>
      </c>
      <c r="D85" s="95">
        <f t="shared" si="12"/>
        <v>964.74</v>
      </c>
      <c r="E85" s="95">
        <f t="shared" si="12"/>
        <v>989.1400000000001</v>
      </c>
      <c r="F85" s="95">
        <f t="shared" si="12"/>
        <v>985.04</v>
      </c>
      <c r="G85" s="95">
        <f t="shared" si="12"/>
        <v>1034.94</v>
      </c>
      <c r="H85" s="95">
        <f t="shared" si="12"/>
        <v>1110.54</v>
      </c>
      <c r="I85" s="95">
        <f t="shared" si="12"/>
        <v>1144.6400000000001</v>
      </c>
      <c r="J85" s="95">
        <f t="shared" si="12"/>
        <v>1246.3400000000001</v>
      </c>
      <c r="K85" s="95">
        <f t="shared" si="12"/>
        <v>1377.54</v>
      </c>
      <c r="L85" s="95">
        <f t="shared" si="12"/>
        <v>1492.3400000000001</v>
      </c>
      <c r="M85" s="95">
        <f t="shared" si="12"/>
        <v>1422.7400000000002</v>
      </c>
      <c r="N85" s="95">
        <f t="shared" si="12"/>
        <v>1350.04</v>
      </c>
      <c r="O85" s="95">
        <f t="shared" si="12"/>
        <v>1332.3400000000001</v>
      </c>
      <c r="P85" s="95">
        <f t="shared" si="12"/>
        <v>1243.04</v>
      </c>
      <c r="Q85" s="95">
        <f t="shared" si="12"/>
        <v>1309.6399999999999</v>
      </c>
      <c r="R85" s="95">
        <f t="shared" si="12"/>
        <v>1271.6399999999999</v>
      </c>
      <c r="S85" s="95">
        <f t="shared" si="12"/>
        <v>1301.1399999999999</v>
      </c>
      <c r="T85" s="95">
        <f t="shared" si="12"/>
        <v>1306.74</v>
      </c>
      <c r="U85" s="95">
        <f t="shared" si="12"/>
        <v>1281.3400000000001</v>
      </c>
      <c r="V85" s="95">
        <f t="shared" si="12"/>
        <v>1196.24</v>
      </c>
      <c r="W85" s="95">
        <f t="shared" si="12"/>
        <v>1324.34</v>
      </c>
      <c r="X85" s="95">
        <f t="shared" si="12"/>
        <v>1397.34</v>
      </c>
      <c r="Y85" s="95">
        <f t="shared" si="12"/>
        <v>1563.44</v>
      </c>
      <c r="Z85" s="95">
        <f t="shared" si="12"/>
        <v>1499.54</v>
      </c>
      <c r="AA85" s="95">
        <f t="shared" si="12"/>
        <v>1426.94</v>
      </c>
      <c r="AB85" s="95">
        <f t="shared" si="12"/>
        <v>1366.74</v>
      </c>
      <c r="AC85" s="95">
        <f t="shared" si="12"/>
        <v>1182.54</v>
      </c>
      <c r="AD85" s="95">
        <f t="shared" si="12"/>
        <v>1212.44</v>
      </c>
      <c r="AE85" s="95">
        <f t="shared" si="12"/>
        <v>1144.44</v>
      </c>
      <c r="AF85" s="95">
        <f t="shared" si="12"/>
        <v>1057.8399999999999</v>
      </c>
      <c r="AG85" s="88">
        <f>AG82+AG78+AG66+AG62+AG44+AG84</f>
        <v>1466.0900000000001</v>
      </c>
      <c r="AH85" s="47">
        <f t="shared" si="8"/>
        <v>1563.44</v>
      </c>
      <c r="AI85" s="48">
        <f t="shared" si="9"/>
        <v>964.74</v>
      </c>
    </row>
    <row r="86" spans="1:37" ht="15.75" thickBot="1" x14ac:dyDescent="0.3">
      <c r="A86" s="74" t="s">
        <v>97</v>
      </c>
      <c r="B86" s="95">
        <f t="shared" ref="B86:AF86" si="13">B85-B93</f>
        <v>976.33999999999992</v>
      </c>
      <c r="C86" s="95">
        <f t="shared" si="13"/>
        <v>998.33999999999992</v>
      </c>
      <c r="D86" s="95">
        <f t="shared" si="13"/>
        <v>964.74</v>
      </c>
      <c r="E86" s="95">
        <f t="shared" si="13"/>
        <v>989.1400000000001</v>
      </c>
      <c r="F86" s="95">
        <f t="shared" si="13"/>
        <v>985.04</v>
      </c>
      <c r="G86" s="95">
        <f t="shared" si="13"/>
        <v>1034.94</v>
      </c>
      <c r="H86" s="95">
        <f t="shared" si="13"/>
        <v>1110.54</v>
      </c>
      <c r="I86" s="95">
        <f t="shared" si="13"/>
        <v>1144.6400000000001</v>
      </c>
      <c r="J86" s="95">
        <f t="shared" si="13"/>
        <v>1246.3400000000001</v>
      </c>
      <c r="K86" s="95">
        <f t="shared" si="13"/>
        <v>1377.54</v>
      </c>
      <c r="L86" s="95">
        <f t="shared" si="13"/>
        <v>1492.3400000000001</v>
      </c>
      <c r="M86" s="95">
        <f t="shared" si="13"/>
        <v>1422.7400000000002</v>
      </c>
      <c r="N86" s="95">
        <f t="shared" si="13"/>
        <v>1350.04</v>
      </c>
      <c r="O86" s="95">
        <f t="shared" si="13"/>
        <v>1332.3400000000001</v>
      </c>
      <c r="P86" s="95">
        <f t="shared" si="13"/>
        <v>1243.04</v>
      </c>
      <c r="Q86" s="95">
        <f t="shared" si="13"/>
        <v>1309.6399999999999</v>
      </c>
      <c r="R86" s="95">
        <f t="shared" si="13"/>
        <v>1271.6399999999999</v>
      </c>
      <c r="S86" s="95">
        <f t="shared" si="13"/>
        <v>1301.1399999999999</v>
      </c>
      <c r="T86" s="95">
        <f t="shared" si="13"/>
        <v>1306.74</v>
      </c>
      <c r="U86" s="95">
        <f t="shared" si="13"/>
        <v>1281.3400000000001</v>
      </c>
      <c r="V86" s="95">
        <f t="shared" si="13"/>
        <v>1196.24</v>
      </c>
      <c r="W86" s="95">
        <f t="shared" si="13"/>
        <v>1324.34</v>
      </c>
      <c r="X86" s="95">
        <f t="shared" si="13"/>
        <v>1397.34</v>
      </c>
      <c r="Y86" s="95">
        <f t="shared" si="13"/>
        <v>1563.44</v>
      </c>
      <c r="Z86" s="95">
        <f t="shared" si="13"/>
        <v>1499.54</v>
      </c>
      <c r="AA86" s="95">
        <f t="shared" si="13"/>
        <v>1426.94</v>
      </c>
      <c r="AB86" s="95">
        <f t="shared" si="13"/>
        <v>1366.74</v>
      </c>
      <c r="AC86" s="95">
        <f t="shared" si="13"/>
        <v>1182.54</v>
      </c>
      <c r="AD86" s="95">
        <f t="shared" si="13"/>
        <v>1212.44</v>
      </c>
      <c r="AE86" s="95">
        <f t="shared" si="13"/>
        <v>1144.44</v>
      </c>
      <c r="AF86" s="95">
        <f t="shared" si="13"/>
        <v>1057.8399999999999</v>
      </c>
      <c r="AG86" s="88"/>
      <c r="AH86" s="47">
        <f t="shared" si="8"/>
        <v>1563.44</v>
      </c>
      <c r="AI86" s="48">
        <f t="shared" si="9"/>
        <v>964.74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461</v>
      </c>
      <c r="C94" s="60">
        <f t="shared" si="14"/>
        <v>483</v>
      </c>
      <c r="D94" s="60">
        <f t="shared" si="14"/>
        <v>442</v>
      </c>
      <c r="E94" s="60">
        <f t="shared" si="14"/>
        <v>494.3</v>
      </c>
      <c r="F94" s="60">
        <f t="shared" si="14"/>
        <v>491.2</v>
      </c>
      <c r="G94" s="60">
        <f t="shared" si="14"/>
        <v>505.8</v>
      </c>
      <c r="H94" s="60">
        <f t="shared" si="14"/>
        <v>489.7</v>
      </c>
      <c r="I94" s="60">
        <f t="shared" si="14"/>
        <v>491.70000000000005</v>
      </c>
      <c r="J94" s="60">
        <f t="shared" si="14"/>
        <v>351</v>
      </c>
      <c r="K94" s="60">
        <f t="shared" si="14"/>
        <v>312.10000000000002</v>
      </c>
      <c r="L94" s="60">
        <f t="shared" si="14"/>
        <v>273.70000000000005</v>
      </c>
      <c r="M94" s="60">
        <f t="shared" si="14"/>
        <v>334.6</v>
      </c>
      <c r="N94" s="60">
        <f t="shared" si="14"/>
        <v>381.9</v>
      </c>
      <c r="O94" s="60">
        <f t="shared" si="14"/>
        <v>355.90000000000003</v>
      </c>
      <c r="P94" s="60">
        <f t="shared" si="14"/>
        <v>504.3</v>
      </c>
      <c r="Q94" s="60">
        <f t="shared" si="14"/>
        <v>491</v>
      </c>
      <c r="R94" s="60">
        <f t="shared" si="14"/>
        <v>498</v>
      </c>
      <c r="S94" s="60">
        <f t="shared" si="14"/>
        <v>489.1</v>
      </c>
      <c r="T94" s="60">
        <f t="shared" si="14"/>
        <v>513</v>
      </c>
      <c r="U94" s="60">
        <f t="shared" si="14"/>
        <v>513.40000000000009</v>
      </c>
      <c r="V94" s="60">
        <f t="shared" si="14"/>
        <v>449.8</v>
      </c>
      <c r="W94" s="60">
        <f t="shared" si="14"/>
        <v>469.6</v>
      </c>
      <c r="X94" s="60">
        <f t="shared" si="14"/>
        <v>536.79999999999995</v>
      </c>
      <c r="Y94" s="60">
        <f t="shared" si="14"/>
        <v>309.3</v>
      </c>
      <c r="Z94" s="60">
        <f t="shared" si="14"/>
        <v>233.39999999999998</v>
      </c>
      <c r="AA94" s="60">
        <f t="shared" si="14"/>
        <v>254.1</v>
      </c>
      <c r="AB94" s="60">
        <f t="shared" si="14"/>
        <v>303.2</v>
      </c>
      <c r="AC94" s="60">
        <f t="shared" si="14"/>
        <v>482</v>
      </c>
      <c r="AD94" s="60">
        <f t="shared" si="14"/>
        <v>481.9</v>
      </c>
      <c r="AE94" s="60">
        <f t="shared" si="14"/>
        <v>446.3</v>
      </c>
      <c r="AF94" s="60">
        <f t="shared" si="14"/>
        <v>463.2</v>
      </c>
      <c r="AG94" s="88"/>
      <c r="AH94" s="47">
        <f t="shared" si="8"/>
        <v>536.79999999999995</v>
      </c>
      <c r="AI94" s="48">
        <f t="shared" si="9"/>
        <v>233.39999999999998</v>
      </c>
    </row>
    <row r="95" spans="1:37" x14ac:dyDescent="0.25">
      <c r="A95" s="100" t="s">
        <v>103</v>
      </c>
      <c r="B95" s="101">
        <v>50.052999999999997</v>
      </c>
      <c r="C95" s="101">
        <v>49.963000000000001</v>
      </c>
      <c r="D95" s="101">
        <v>49.972000000000001</v>
      </c>
      <c r="E95" s="101">
        <v>50.057000000000002</v>
      </c>
      <c r="F95" s="101">
        <v>50</v>
      </c>
      <c r="G95" s="101">
        <v>49.970999999999997</v>
      </c>
      <c r="H95" s="101">
        <v>50.011000000000003</v>
      </c>
      <c r="I95" s="101">
        <v>49.905999999999999</v>
      </c>
      <c r="J95" s="101">
        <v>49.878</v>
      </c>
      <c r="K95" s="101">
        <v>49.656999999999996</v>
      </c>
      <c r="L95" s="101">
        <v>49.656999999999996</v>
      </c>
      <c r="M95" s="101">
        <v>50.024000000000001</v>
      </c>
      <c r="N95" s="101">
        <v>49.79</v>
      </c>
      <c r="O95" s="101">
        <v>50.104999999999997</v>
      </c>
      <c r="P95" s="101">
        <v>50.1</v>
      </c>
      <c r="Q95" s="101">
        <v>50.037999999999997</v>
      </c>
      <c r="R95" s="101">
        <v>50.16</v>
      </c>
      <c r="S95" s="101">
        <v>50.02</v>
      </c>
      <c r="T95" s="101">
        <v>49.911000000000001</v>
      </c>
      <c r="U95" s="101">
        <v>50.012</v>
      </c>
      <c r="V95" s="101">
        <v>49.875</v>
      </c>
      <c r="W95" s="101">
        <v>49.95</v>
      </c>
      <c r="X95" s="101">
        <v>50.015999999999998</v>
      </c>
      <c r="Y95" s="101">
        <v>49.963999999999999</v>
      </c>
      <c r="Z95" s="101">
        <v>49.856999999999999</v>
      </c>
      <c r="AA95" s="101">
        <v>50.003999999999998</v>
      </c>
      <c r="AB95" s="101">
        <v>50.081000000000003</v>
      </c>
      <c r="AC95" s="101">
        <v>50.051000000000002</v>
      </c>
      <c r="AD95" s="101">
        <v>50.045000000000002</v>
      </c>
      <c r="AE95" s="101">
        <v>49.917000000000002</v>
      </c>
      <c r="AF95" s="101">
        <v>49.966000000000001</v>
      </c>
      <c r="AG95" s="102"/>
      <c r="AH95" s="47">
        <f t="shared" si="8"/>
        <v>50.16</v>
      </c>
      <c r="AI95" s="48">
        <f t="shared" si="9"/>
        <v>49.656999999999996</v>
      </c>
    </row>
    <row r="96" spans="1:37" x14ac:dyDescent="0.25">
      <c r="A96" s="103" t="s">
        <v>104</v>
      </c>
      <c r="B96" s="65">
        <v>129</v>
      </c>
      <c r="C96" s="65">
        <v>128.30000000000001</v>
      </c>
      <c r="D96" s="65">
        <v>130</v>
      </c>
      <c r="E96" s="65">
        <v>128.4</v>
      </c>
      <c r="F96" s="65">
        <v>127.8</v>
      </c>
      <c r="G96" s="65">
        <v>128.1</v>
      </c>
      <c r="H96" s="65">
        <v>127.1</v>
      </c>
      <c r="I96" s="65">
        <v>126.8</v>
      </c>
      <c r="J96" s="65">
        <v>126.1</v>
      </c>
      <c r="K96" s="65">
        <v>128.1</v>
      </c>
      <c r="L96" s="65">
        <v>128.1</v>
      </c>
      <c r="M96" s="65">
        <v>126.4</v>
      </c>
      <c r="N96" s="65">
        <v>125.8</v>
      </c>
      <c r="O96" s="65">
        <v>126.4</v>
      </c>
      <c r="P96" s="65">
        <v>126</v>
      </c>
      <c r="Q96" s="65">
        <v>125.6</v>
      </c>
      <c r="R96" s="65">
        <v>126</v>
      </c>
      <c r="S96" s="65">
        <v>126.8</v>
      </c>
      <c r="T96" s="65">
        <v>124.7</v>
      </c>
      <c r="U96" s="65">
        <v>126.7</v>
      </c>
      <c r="V96" s="65">
        <v>129.1</v>
      </c>
      <c r="W96" s="65">
        <v>127.1</v>
      </c>
      <c r="X96" s="65">
        <v>128.1</v>
      </c>
      <c r="Y96" s="65">
        <v>129.5</v>
      </c>
      <c r="Z96" s="65">
        <v>128.5</v>
      </c>
      <c r="AA96" s="65">
        <v>129.9</v>
      </c>
      <c r="AB96" s="65">
        <v>129.19999999999999</v>
      </c>
      <c r="AC96" s="65">
        <v>128</v>
      </c>
      <c r="AD96" s="65">
        <v>126.5</v>
      </c>
      <c r="AE96" s="65">
        <v>128</v>
      </c>
      <c r="AF96" s="65">
        <v>129.19999999999999</v>
      </c>
      <c r="AG96" s="104"/>
      <c r="AH96" s="47">
        <f t="shared" si="8"/>
        <v>130</v>
      </c>
      <c r="AI96" s="48">
        <f t="shared" si="9"/>
        <v>124.7</v>
      </c>
    </row>
    <row r="97" spans="1:35" x14ac:dyDescent="0.25">
      <c r="A97" s="103" t="s">
        <v>105</v>
      </c>
      <c r="B97" s="65">
        <v>133</v>
      </c>
      <c r="C97" s="65">
        <v>132.4</v>
      </c>
      <c r="D97" s="65">
        <v>134</v>
      </c>
      <c r="E97" s="65">
        <v>132.4</v>
      </c>
      <c r="F97" s="65">
        <v>131.30000000000001</v>
      </c>
      <c r="G97" s="65">
        <v>131.6</v>
      </c>
      <c r="H97" s="65">
        <v>130.80000000000001</v>
      </c>
      <c r="I97" s="65">
        <v>130.4</v>
      </c>
      <c r="J97" s="65">
        <v>129.4</v>
      </c>
      <c r="K97" s="65">
        <v>130.19999999999999</v>
      </c>
      <c r="L97" s="65">
        <v>130.19999999999999</v>
      </c>
      <c r="M97" s="65">
        <v>128.6</v>
      </c>
      <c r="N97" s="65">
        <v>128.19999999999999</v>
      </c>
      <c r="O97" s="65">
        <v>128.6</v>
      </c>
      <c r="P97" s="65">
        <v>128.5</v>
      </c>
      <c r="Q97" s="65">
        <v>128.9</v>
      </c>
      <c r="R97" s="65">
        <v>129</v>
      </c>
      <c r="S97" s="65">
        <v>129.80000000000001</v>
      </c>
      <c r="T97" s="65">
        <v>128</v>
      </c>
      <c r="U97" s="65">
        <v>129.30000000000001</v>
      </c>
      <c r="V97" s="65">
        <v>130.6</v>
      </c>
      <c r="W97" s="65">
        <v>129.30000000000001</v>
      </c>
      <c r="X97" s="65">
        <v>129.5</v>
      </c>
      <c r="Y97" s="65">
        <v>130.19999999999999</v>
      </c>
      <c r="Z97" s="65">
        <v>130.1</v>
      </c>
      <c r="AA97" s="65">
        <v>131.30000000000001</v>
      </c>
      <c r="AB97" s="65">
        <v>130.5</v>
      </c>
      <c r="AC97" s="65">
        <v>130.30000000000001</v>
      </c>
      <c r="AD97" s="65">
        <v>129.6</v>
      </c>
      <c r="AE97" s="65">
        <v>131.5</v>
      </c>
      <c r="AF97" s="65">
        <v>132</v>
      </c>
      <c r="AG97" s="104"/>
      <c r="AH97" s="47">
        <f t="shared" si="8"/>
        <v>134</v>
      </c>
      <c r="AI97" s="48">
        <f t="shared" si="9"/>
        <v>128</v>
      </c>
    </row>
    <row r="98" spans="1:35" x14ac:dyDescent="0.25">
      <c r="A98" s="103" t="s">
        <v>106</v>
      </c>
      <c r="B98" s="65">
        <v>129.30000000000001</v>
      </c>
      <c r="C98" s="65">
        <v>128.30000000000001</v>
      </c>
      <c r="D98" s="65">
        <v>130</v>
      </c>
      <c r="E98" s="65">
        <v>129.19999999999999</v>
      </c>
      <c r="F98" s="65">
        <v>129.4</v>
      </c>
      <c r="G98" s="65">
        <v>128.19999999999999</v>
      </c>
      <c r="H98" s="65">
        <v>128.30000000000001</v>
      </c>
      <c r="I98" s="65">
        <v>128.1</v>
      </c>
      <c r="J98" s="65">
        <v>127.5</v>
      </c>
      <c r="K98" s="65">
        <v>126.8</v>
      </c>
      <c r="L98" s="65">
        <v>126.8</v>
      </c>
      <c r="M98" s="65">
        <v>130.19999999999999</v>
      </c>
      <c r="N98" s="65">
        <v>128.80000000000001</v>
      </c>
      <c r="O98" s="65">
        <v>128.4</v>
      </c>
      <c r="P98" s="65">
        <v>127.4</v>
      </c>
      <c r="Q98" s="65">
        <v>129.30000000000001</v>
      </c>
      <c r="R98" s="65">
        <v>131</v>
      </c>
      <c r="S98" s="65">
        <v>127.6</v>
      </c>
      <c r="T98" s="65">
        <v>126.2</v>
      </c>
      <c r="U98" s="65">
        <v>127.5</v>
      </c>
      <c r="V98" s="65">
        <v>128.69999999999999</v>
      </c>
      <c r="W98" s="65">
        <v>130.1</v>
      </c>
      <c r="X98" s="65">
        <v>129.69999999999999</v>
      </c>
      <c r="Y98" s="65">
        <v>129.5</v>
      </c>
      <c r="Z98" s="65">
        <v>130.4</v>
      </c>
      <c r="AA98" s="65">
        <v>131.6</v>
      </c>
      <c r="AB98" s="65">
        <v>131.5</v>
      </c>
      <c r="AC98" s="65">
        <v>130.6</v>
      </c>
      <c r="AD98" s="65">
        <v>129.4</v>
      </c>
      <c r="AE98" s="65">
        <v>130</v>
      </c>
      <c r="AF98" s="65">
        <v>132</v>
      </c>
      <c r="AG98" s="104"/>
      <c r="AH98" s="47">
        <f t="shared" si="8"/>
        <v>132</v>
      </c>
      <c r="AI98" s="48">
        <f t="shared" si="9"/>
        <v>126.2</v>
      </c>
    </row>
    <row r="99" spans="1:35" x14ac:dyDescent="0.25">
      <c r="A99" s="105" t="s">
        <v>107</v>
      </c>
      <c r="B99" s="65">
        <v>132.1</v>
      </c>
      <c r="C99" s="65">
        <v>131.69999999999999</v>
      </c>
      <c r="D99" s="65">
        <v>133</v>
      </c>
      <c r="E99" s="65">
        <v>132.6</v>
      </c>
      <c r="F99" s="65">
        <v>132.69999999999999</v>
      </c>
      <c r="G99" s="65">
        <v>131.6</v>
      </c>
      <c r="H99" s="65">
        <v>131.19999999999999</v>
      </c>
      <c r="I99" s="65">
        <v>132.30000000000001</v>
      </c>
      <c r="J99" s="65">
        <v>130.6</v>
      </c>
      <c r="K99" s="65">
        <v>130.5</v>
      </c>
      <c r="L99" s="65">
        <v>130.5</v>
      </c>
      <c r="M99" s="65">
        <v>130.5</v>
      </c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133</v>
      </c>
      <c r="AI99" s="48">
        <f t="shared" si="9"/>
        <v>130.5</v>
      </c>
    </row>
    <row r="100" spans="1:35" x14ac:dyDescent="0.25">
      <c r="A100" s="105" t="s">
        <v>108</v>
      </c>
      <c r="B100" s="106">
        <v>133.5</v>
      </c>
      <c r="C100" s="106">
        <v>133.30000000000001</v>
      </c>
      <c r="D100" s="106">
        <v>135</v>
      </c>
      <c r="E100" s="106">
        <v>134.5</v>
      </c>
      <c r="F100" s="106">
        <v>132.19999999999999</v>
      </c>
      <c r="G100" s="106">
        <v>131.9</v>
      </c>
      <c r="H100" s="106">
        <v>133.5</v>
      </c>
      <c r="I100" s="106">
        <v>132.1</v>
      </c>
      <c r="J100" s="106">
        <v>132.30000000000001</v>
      </c>
      <c r="K100" s="106">
        <v>136.1</v>
      </c>
      <c r="L100" s="106">
        <v>136.1</v>
      </c>
      <c r="M100" s="106">
        <v>135</v>
      </c>
      <c r="N100" s="106">
        <v>132.9</v>
      </c>
      <c r="O100" s="106">
        <v>136.1</v>
      </c>
      <c r="P100" s="106">
        <v>131.6</v>
      </c>
      <c r="Q100" s="106">
        <v>133</v>
      </c>
      <c r="R100" s="106">
        <v>132.6</v>
      </c>
      <c r="S100" s="106">
        <v>135</v>
      </c>
      <c r="T100" s="106">
        <v>130.80000000000001</v>
      </c>
      <c r="U100" s="106">
        <v>132.1</v>
      </c>
      <c r="V100" s="106">
        <v>134.30000000000001</v>
      </c>
      <c r="W100" s="106">
        <v>132.1</v>
      </c>
      <c r="X100" s="106">
        <v>133.69999999999999</v>
      </c>
      <c r="Y100" s="106">
        <v>134.5</v>
      </c>
      <c r="Z100" s="106">
        <v>134.30000000000001</v>
      </c>
      <c r="AA100" s="106">
        <v>134.9</v>
      </c>
      <c r="AB100" s="106">
        <v>135.80000000000001</v>
      </c>
      <c r="AC100" s="106">
        <v>133.4</v>
      </c>
      <c r="AD100" s="106">
        <v>131.30000000000001</v>
      </c>
      <c r="AE100" s="106">
        <v>131.30000000000001</v>
      </c>
      <c r="AF100" s="106">
        <v>133</v>
      </c>
      <c r="AG100" s="107"/>
      <c r="AH100" s="47">
        <f t="shared" si="8"/>
        <v>136.1</v>
      </c>
      <c r="AI100" s="48">
        <f t="shared" si="9"/>
        <v>130.80000000000001</v>
      </c>
    </row>
    <row r="101" spans="1:35" x14ac:dyDescent="0.25">
      <c r="A101" s="103" t="s">
        <v>109</v>
      </c>
      <c r="B101" s="65">
        <v>134.6</v>
      </c>
      <c r="C101" s="65">
        <v>133.5</v>
      </c>
      <c r="D101" s="65">
        <v>136</v>
      </c>
      <c r="E101" s="65">
        <v>135.30000000000001</v>
      </c>
      <c r="F101" s="65">
        <v>132.1</v>
      </c>
      <c r="G101" s="65">
        <v>133.69999999999999</v>
      </c>
      <c r="H101" s="65">
        <v>133</v>
      </c>
      <c r="I101" s="65">
        <v>133.69999999999999</v>
      </c>
      <c r="J101" s="65">
        <v>136.19999999999999</v>
      </c>
      <c r="K101" s="65">
        <v>135</v>
      </c>
      <c r="L101" s="65">
        <v>135</v>
      </c>
      <c r="M101" s="65">
        <v>130.5</v>
      </c>
      <c r="N101" s="65">
        <v>126.4</v>
      </c>
      <c r="O101" s="65">
        <v>127.6</v>
      </c>
      <c r="P101" s="65">
        <v>125</v>
      </c>
      <c r="Q101" s="65">
        <v>132.4</v>
      </c>
      <c r="R101" s="65">
        <v>132</v>
      </c>
      <c r="S101" s="65">
        <v>136.6</v>
      </c>
      <c r="T101" s="65">
        <v>128.69999999999999</v>
      </c>
      <c r="U101" s="65">
        <v>130.5</v>
      </c>
      <c r="V101" s="65">
        <v>136.1</v>
      </c>
      <c r="W101" s="65">
        <v>130.9</v>
      </c>
      <c r="X101" s="65">
        <v>128.69999999999999</v>
      </c>
      <c r="Y101" s="65">
        <v>127.5</v>
      </c>
      <c r="Z101" s="65">
        <v>130.4</v>
      </c>
      <c r="AA101" s="65">
        <v>135.69999999999999</v>
      </c>
      <c r="AB101" s="65">
        <v>138</v>
      </c>
      <c r="AC101" s="65">
        <v>129.30000000000001</v>
      </c>
      <c r="AD101" s="65">
        <v>133.30000000000001</v>
      </c>
      <c r="AE101" s="65">
        <v>132.6</v>
      </c>
      <c r="AF101" s="65">
        <v>135</v>
      </c>
      <c r="AG101" s="104"/>
      <c r="AH101" s="47">
        <f t="shared" si="8"/>
        <v>138</v>
      </c>
      <c r="AI101" s="48">
        <f t="shared" si="9"/>
        <v>125</v>
      </c>
    </row>
    <row r="102" spans="1:35" ht="15.75" thickBot="1" x14ac:dyDescent="0.3">
      <c r="A102" s="103" t="s">
        <v>110</v>
      </c>
      <c r="B102" s="92">
        <v>67</v>
      </c>
      <c r="C102" s="92">
        <v>66.400000000000006</v>
      </c>
      <c r="D102" s="92">
        <v>67</v>
      </c>
      <c r="E102" s="92">
        <v>66.400000000000006</v>
      </c>
      <c r="F102" s="92">
        <v>66</v>
      </c>
      <c r="G102" s="92">
        <v>66</v>
      </c>
      <c r="H102" s="92">
        <v>65.5</v>
      </c>
      <c r="I102" s="92">
        <v>65.3</v>
      </c>
      <c r="J102" s="92">
        <v>64.900000000000006</v>
      </c>
      <c r="K102" s="92">
        <v>65.599999999999994</v>
      </c>
      <c r="L102" s="92">
        <v>65.599999999999994</v>
      </c>
      <c r="M102" s="92">
        <v>64.3</v>
      </c>
      <c r="N102" s="92">
        <v>64.099999999999994</v>
      </c>
      <c r="O102" s="92">
        <v>63.9</v>
      </c>
      <c r="P102" s="92">
        <v>64.5</v>
      </c>
      <c r="Q102" s="92">
        <v>64.5</v>
      </c>
      <c r="R102" s="92">
        <v>64.900000000000006</v>
      </c>
      <c r="S102" s="92">
        <v>64.900000000000006</v>
      </c>
      <c r="T102" s="92">
        <v>64.400000000000006</v>
      </c>
      <c r="U102" s="92">
        <v>64.599999999999994</v>
      </c>
      <c r="V102" s="92">
        <v>65.2</v>
      </c>
      <c r="W102" s="92">
        <v>64.400000000000006</v>
      </c>
      <c r="X102" s="92">
        <v>64.7</v>
      </c>
      <c r="Y102" s="92">
        <v>65.2</v>
      </c>
      <c r="Z102" s="92">
        <v>64.900000000000006</v>
      </c>
      <c r="AA102" s="92">
        <v>65.8</v>
      </c>
      <c r="AB102" s="92">
        <v>65.3</v>
      </c>
      <c r="AC102" s="92">
        <v>65.099999999999994</v>
      </c>
      <c r="AD102" s="92">
        <v>64.900000000000006</v>
      </c>
      <c r="AE102" s="92">
        <v>66</v>
      </c>
      <c r="AF102" s="92">
        <v>66</v>
      </c>
      <c r="AG102" s="108"/>
      <c r="AH102" s="47">
        <f t="shared" si="8"/>
        <v>67</v>
      </c>
      <c r="AI102" s="48">
        <f t="shared" si="9"/>
        <v>63.9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134.9</v>
      </c>
      <c r="C104" s="111">
        <f t="shared" si="15"/>
        <v>124.24</v>
      </c>
      <c r="D104" s="111">
        <f t="shared" si="15"/>
        <v>115.44</v>
      </c>
      <c r="E104" s="111">
        <f t="shared" si="15"/>
        <v>113.84</v>
      </c>
      <c r="F104" s="111">
        <f t="shared" si="15"/>
        <v>117.14000000000001</v>
      </c>
      <c r="G104" s="111">
        <f t="shared" si="15"/>
        <v>141.44</v>
      </c>
      <c r="H104" s="111">
        <f t="shared" si="15"/>
        <v>171.24</v>
      </c>
      <c r="I104" s="111">
        <f t="shared" si="15"/>
        <v>197.53999999999996</v>
      </c>
      <c r="J104" s="111">
        <f t="shared" si="15"/>
        <v>256.33999999999997</v>
      </c>
      <c r="K104" s="111">
        <f t="shared" si="15"/>
        <v>302.64000000000004</v>
      </c>
      <c r="L104" s="111">
        <f t="shared" si="15"/>
        <v>302.64000000000004</v>
      </c>
      <c r="M104" s="111">
        <f t="shared" si="15"/>
        <v>304.54000000000002</v>
      </c>
      <c r="N104" s="111">
        <f t="shared" si="15"/>
        <v>302.04000000000002</v>
      </c>
      <c r="O104" s="111">
        <f t="shared" si="15"/>
        <v>299.33999999999997</v>
      </c>
      <c r="P104" s="111">
        <v>42</v>
      </c>
      <c r="Q104" s="111">
        <f t="shared" si="15"/>
        <v>259.59999999999997</v>
      </c>
      <c r="R104" s="111">
        <f t="shared" si="15"/>
        <v>212.1</v>
      </c>
      <c r="S104" s="111">
        <f t="shared" si="15"/>
        <v>203.5</v>
      </c>
      <c r="T104" s="111">
        <f t="shared" si="15"/>
        <v>233.8</v>
      </c>
      <c r="U104" s="111">
        <f t="shared" si="15"/>
        <v>228.6</v>
      </c>
      <c r="V104" s="111">
        <f t="shared" si="15"/>
        <v>251.79999999999998</v>
      </c>
      <c r="W104" s="111">
        <f t="shared" si="15"/>
        <v>268.8</v>
      </c>
      <c r="X104" s="111">
        <f t="shared" si="15"/>
        <v>335.59999999999997</v>
      </c>
      <c r="Y104" s="111">
        <f t="shared" si="15"/>
        <v>345.4</v>
      </c>
      <c r="Z104" s="111">
        <f t="shared" si="15"/>
        <v>348.7</v>
      </c>
      <c r="AA104" s="111">
        <f t="shared" si="15"/>
        <v>327.7</v>
      </c>
      <c r="AB104" s="111">
        <f t="shared" si="15"/>
        <v>323.39999999999998</v>
      </c>
      <c r="AC104" s="111">
        <f t="shared" si="15"/>
        <v>302</v>
      </c>
      <c r="AD104" s="111">
        <f t="shared" si="15"/>
        <v>266.10000000000002</v>
      </c>
      <c r="AE104" s="111">
        <f t="shared" si="15"/>
        <v>204.4</v>
      </c>
      <c r="AF104" s="111">
        <f t="shared" si="15"/>
        <v>148.9</v>
      </c>
      <c r="AG104" s="112"/>
      <c r="AH104" s="47">
        <f t="shared" si="8"/>
        <v>348.7</v>
      </c>
      <c r="AI104" s="48">
        <f t="shared" si="9"/>
        <v>42</v>
      </c>
    </row>
    <row r="105" spans="1:35" x14ac:dyDescent="0.25">
      <c r="A105" s="100" t="s">
        <v>113</v>
      </c>
      <c r="B105" s="113">
        <v>-15</v>
      </c>
      <c r="C105" s="113">
        <v>-12</v>
      </c>
      <c r="D105" s="113">
        <v>-13</v>
      </c>
      <c r="E105" s="113">
        <v>-17.8</v>
      </c>
      <c r="F105" s="113">
        <v>-20.399999999999999</v>
      </c>
      <c r="G105" s="113">
        <v>-16</v>
      </c>
      <c r="H105" s="113">
        <v>-8.6</v>
      </c>
      <c r="I105" s="113">
        <v>-5.9</v>
      </c>
      <c r="J105" s="113">
        <v>10.4</v>
      </c>
      <c r="K105" s="113">
        <v>19.7</v>
      </c>
      <c r="L105" s="113">
        <v>19.7</v>
      </c>
      <c r="M105" s="113">
        <v>27</v>
      </c>
      <c r="N105" s="113">
        <v>21.6</v>
      </c>
      <c r="O105" s="113">
        <v>24.2</v>
      </c>
      <c r="P105" s="113">
        <v>13.5</v>
      </c>
      <c r="Q105" s="113">
        <v>4.5</v>
      </c>
      <c r="R105" s="113">
        <v>0</v>
      </c>
      <c r="S105" s="113">
        <v>0</v>
      </c>
      <c r="T105" s="113">
        <v>2.2999999999999998</v>
      </c>
      <c r="U105" s="113">
        <v>2.2999999999999998</v>
      </c>
      <c r="V105" s="113">
        <v>0</v>
      </c>
      <c r="W105" s="113">
        <v>9.9</v>
      </c>
      <c r="X105" s="113">
        <v>15.2</v>
      </c>
      <c r="Y105" s="113">
        <v>32.1</v>
      </c>
      <c r="Z105" s="113">
        <v>23.9</v>
      </c>
      <c r="AA105" s="113">
        <v>26.1</v>
      </c>
      <c r="AB105" s="113">
        <v>21.7</v>
      </c>
      <c r="AC105" s="113">
        <v>23.1</v>
      </c>
      <c r="AD105" s="113">
        <v>18.399999999999999</v>
      </c>
      <c r="AE105" s="113">
        <v>13.1</v>
      </c>
      <c r="AF105" s="113">
        <v>-4</v>
      </c>
      <c r="AG105" s="114">
        <v>75</v>
      </c>
      <c r="AH105" s="47">
        <f t="shared" si="8"/>
        <v>32.1</v>
      </c>
      <c r="AI105" s="48">
        <f t="shared" si="9"/>
        <v>-20.399999999999999</v>
      </c>
    </row>
    <row r="106" spans="1:35" x14ac:dyDescent="0.25">
      <c r="A106" s="103" t="s">
        <v>114</v>
      </c>
      <c r="B106" s="115">
        <v>-21</v>
      </c>
      <c r="C106" s="115">
        <v>-18</v>
      </c>
      <c r="D106" s="115">
        <v>-17</v>
      </c>
      <c r="E106" s="115">
        <v>-24.5</v>
      </c>
      <c r="F106" s="115">
        <v>-27.8</v>
      </c>
      <c r="G106" s="115">
        <v>-21.9</v>
      </c>
      <c r="H106" s="115">
        <v>-11.9</v>
      </c>
      <c r="I106" s="115">
        <v>-8.4</v>
      </c>
      <c r="J106" s="115">
        <v>14.5</v>
      </c>
      <c r="K106" s="115">
        <v>26.5</v>
      </c>
      <c r="L106" s="115">
        <v>26.5</v>
      </c>
      <c r="M106" s="115">
        <v>31.6</v>
      </c>
      <c r="N106" s="115">
        <v>24.1</v>
      </c>
      <c r="O106" s="115">
        <v>29.2</v>
      </c>
      <c r="P106" s="115">
        <v>22.6</v>
      </c>
      <c r="Q106" s="115">
        <v>12</v>
      </c>
      <c r="R106" s="115">
        <v>3</v>
      </c>
      <c r="S106" s="115">
        <v>4.3</v>
      </c>
      <c r="T106" s="115">
        <v>8.4</v>
      </c>
      <c r="U106" s="115">
        <v>6.7</v>
      </c>
      <c r="V106" s="115">
        <v>-1.5</v>
      </c>
      <c r="W106" s="115">
        <v>4.4000000000000004</v>
      </c>
      <c r="X106" s="115">
        <v>11.4</v>
      </c>
      <c r="Y106" s="115">
        <v>37.9</v>
      </c>
      <c r="Z106" s="115">
        <v>25.9</v>
      </c>
      <c r="AA106" s="115">
        <v>29.3</v>
      </c>
      <c r="AB106" s="115">
        <v>24.8</v>
      </c>
      <c r="AC106" s="115">
        <v>27.8</v>
      </c>
      <c r="AD106" s="115">
        <v>23.7</v>
      </c>
      <c r="AE106" s="115">
        <v>18</v>
      </c>
      <c r="AF106" s="115">
        <v>-1</v>
      </c>
      <c r="AG106" s="114">
        <v>240</v>
      </c>
      <c r="AH106" s="47">
        <f t="shared" si="8"/>
        <v>37.9</v>
      </c>
      <c r="AI106" s="48">
        <f t="shared" si="9"/>
        <v>-27.8</v>
      </c>
    </row>
    <row r="107" spans="1:35" x14ac:dyDescent="0.25">
      <c r="A107" s="103" t="s">
        <v>115</v>
      </c>
      <c r="B107" s="115">
        <v>-18</v>
      </c>
      <c r="C107" s="115">
        <v>-31</v>
      </c>
      <c r="D107" s="115">
        <v>-31</v>
      </c>
      <c r="E107" s="115">
        <v>-31</v>
      </c>
      <c r="F107" s="115">
        <f>-12.4-13.7</f>
        <v>-26.1</v>
      </c>
      <c r="G107" s="115">
        <v>-19</v>
      </c>
      <c r="H107" s="115">
        <v>-12.3</v>
      </c>
      <c r="I107" s="115">
        <v>-4.9000000000000004</v>
      </c>
      <c r="J107" s="115">
        <v>-2.2000000000000002</v>
      </c>
      <c r="K107" s="115">
        <v>19</v>
      </c>
      <c r="L107" s="115">
        <v>19</v>
      </c>
      <c r="M107" s="115">
        <v>29.5</v>
      </c>
      <c r="N107" s="115">
        <f>27+30</f>
        <v>57</v>
      </c>
      <c r="O107" s="115">
        <v>58.3</v>
      </c>
      <c r="P107" s="115">
        <v>-6</v>
      </c>
      <c r="Q107" s="115">
        <v>3</v>
      </c>
      <c r="R107" s="115">
        <v>-31</v>
      </c>
      <c r="S107" s="115">
        <f>-35.6-4.8</f>
        <v>-40.4</v>
      </c>
      <c r="T107" s="115">
        <v>-25.5</v>
      </c>
      <c r="U107" s="115">
        <v>-21</v>
      </c>
      <c r="V107" s="115">
        <v>10.6</v>
      </c>
      <c r="W107" s="115">
        <v>48.3</v>
      </c>
      <c r="X107" s="115">
        <v>50</v>
      </c>
      <c r="Y107" s="115">
        <v>20</v>
      </c>
      <c r="Z107" s="115">
        <v>70</v>
      </c>
      <c r="AA107" s="115">
        <v>55</v>
      </c>
      <c r="AB107" s="115">
        <v>46</v>
      </c>
      <c r="AC107" s="115">
        <v>29</v>
      </c>
      <c r="AD107" s="115">
        <v>9</v>
      </c>
      <c r="AE107" s="115">
        <v>-24</v>
      </c>
      <c r="AF107" s="115">
        <v>-28</v>
      </c>
      <c r="AG107" s="114">
        <v>240</v>
      </c>
      <c r="AH107" s="47">
        <f t="shared" si="8"/>
        <v>70</v>
      </c>
      <c r="AI107" s="48">
        <f t="shared" si="9"/>
        <v>-40.4</v>
      </c>
    </row>
    <row r="108" spans="1:35" x14ac:dyDescent="0.25">
      <c r="A108" s="103" t="s">
        <v>116</v>
      </c>
      <c r="B108" s="115">
        <v>0.4</v>
      </c>
      <c r="C108" s="115">
        <v>-0.2</v>
      </c>
      <c r="D108" s="115">
        <v>-2</v>
      </c>
      <c r="E108" s="115">
        <v>-2.8</v>
      </c>
      <c r="F108" s="115">
        <v>-3.7</v>
      </c>
      <c r="G108" s="115">
        <v>-1.3</v>
      </c>
      <c r="H108" s="115">
        <v>-0.5</v>
      </c>
      <c r="I108" s="115">
        <v>18.2</v>
      </c>
      <c r="J108" s="115">
        <v>22.9</v>
      </c>
      <c r="K108" s="115">
        <v>26.5</v>
      </c>
      <c r="L108" s="115">
        <v>26.5</v>
      </c>
      <c r="M108" s="115">
        <v>23.4</v>
      </c>
      <c r="N108" s="115">
        <v>23.6</v>
      </c>
      <c r="O108" s="115">
        <v>20.6</v>
      </c>
      <c r="P108" s="115">
        <v>32.5</v>
      </c>
      <c r="Q108" s="115">
        <v>44.8</v>
      </c>
      <c r="R108" s="115">
        <v>40</v>
      </c>
      <c r="S108" s="115">
        <v>38</v>
      </c>
      <c r="T108" s="115">
        <v>32.9</v>
      </c>
      <c r="U108" s="115">
        <v>42.7</v>
      </c>
      <c r="V108" s="115">
        <v>35.299999999999997</v>
      </c>
      <c r="W108" s="115">
        <v>40</v>
      </c>
      <c r="X108" s="115">
        <v>40.200000000000003</v>
      </c>
      <c r="Y108" s="115">
        <v>53.7</v>
      </c>
      <c r="Z108" s="115">
        <v>45.8</v>
      </c>
      <c r="AA108" s="115">
        <v>38.5</v>
      </c>
      <c r="AB108" s="115">
        <v>22</v>
      </c>
      <c r="AC108" s="115">
        <v>17</v>
      </c>
      <c r="AD108" s="115">
        <v>11.1</v>
      </c>
      <c r="AE108" s="115">
        <v>6.4</v>
      </c>
      <c r="AF108" s="115">
        <v>0</v>
      </c>
      <c r="AG108" s="114">
        <v>60</v>
      </c>
      <c r="AH108" s="47">
        <f t="shared" si="8"/>
        <v>53.7</v>
      </c>
      <c r="AI108" s="48">
        <f t="shared" si="9"/>
        <v>-3.7</v>
      </c>
    </row>
    <row r="109" spans="1:35" x14ac:dyDescent="0.25">
      <c r="A109" s="116" t="s">
        <v>117</v>
      </c>
      <c r="B109" s="117">
        <v>91</v>
      </c>
      <c r="C109" s="117">
        <v>87</v>
      </c>
      <c r="D109" s="117">
        <v>80</v>
      </c>
      <c r="E109" s="117">
        <v>89.2</v>
      </c>
      <c r="F109" s="117">
        <v>95.4</v>
      </c>
      <c r="G109" s="117">
        <v>100.9</v>
      </c>
      <c r="H109" s="117">
        <v>105.8</v>
      </c>
      <c r="I109" s="117">
        <v>100</v>
      </c>
      <c r="J109" s="117">
        <v>112.2</v>
      </c>
      <c r="K109" s="117">
        <v>112.4</v>
      </c>
      <c r="L109" s="117">
        <v>112.4</v>
      </c>
      <c r="M109" s="117">
        <v>94.8</v>
      </c>
      <c r="N109" s="117">
        <v>77.5</v>
      </c>
      <c r="O109" s="117">
        <v>68</v>
      </c>
      <c r="P109" s="117">
        <v>105</v>
      </c>
      <c r="Q109" s="117">
        <v>97.2</v>
      </c>
      <c r="R109" s="117">
        <v>102</v>
      </c>
      <c r="S109" s="117">
        <v>95.5</v>
      </c>
      <c r="T109" s="117">
        <v>111.4</v>
      </c>
      <c r="U109" s="117">
        <v>99.6</v>
      </c>
      <c r="V109" s="117">
        <v>109.1</v>
      </c>
      <c r="W109" s="117">
        <v>67.900000000000006</v>
      </c>
      <c r="X109" s="117">
        <v>119.7</v>
      </c>
      <c r="Y109" s="117">
        <v>102.6</v>
      </c>
      <c r="Z109" s="117">
        <v>84</v>
      </c>
      <c r="AA109" s="117">
        <v>79.7</v>
      </c>
      <c r="AB109" s="117">
        <v>112</v>
      </c>
      <c r="AC109" s="117">
        <v>108.2</v>
      </c>
      <c r="AD109" s="117">
        <v>107</v>
      </c>
      <c r="AE109" s="117">
        <v>94</v>
      </c>
      <c r="AF109" s="117">
        <v>85</v>
      </c>
      <c r="AG109" s="118">
        <v>120</v>
      </c>
      <c r="AH109" s="47">
        <f t="shared" si="8"/>
        <v>119.7</v>
      </c>
      <c r="AI109" s="48">
        <f t="shared" si="9"/>
        <v>67.900000000000006</v>
      </c>
    </row>
    <row r="110" spans="1:35" x14ac:dyDescent="0.25">
      <c r="A110" s="116" t="s">
        <v>118</v>
      </c>
      <c r="B110" s="117">
        <v>96</v>
      </c>
      <c r="C110" s="117">
        <v>95</v>
      </c>
      <c r="D110" s="117">
        <v>87</v>
      </c>
      <c r="E110" s="117">
        <v>102.9</v>
      </c>
      <c r="F110" s="117">
        <v>104.5</v>
      </c>
      <c r="G110" s="117">
        <v>109.1</v>
      </c>
      <c r="H110" s="117">
        <v>108</v>
      </c>
      <c r="I110" s="117">
        <v>98</v>
      </c>
      <c r="J110" s="117">
        <v>98.9</v>
      </c>
      <c r="K110" s="117">
        <v>84</v>
      </c>
      <c r="L110" s="117">
        <v>84</v>
      </c>
      <c r="M110" s="117">
        <v>92.4</v>
      </c>
      <c r="N110" s="117">
        <v>89.1</v>
      </c>
      <c r="O110" s="117">
        <v>87.3</v>
      </c>
      <c r="P110" s="117">
        <v>92</v>
      </c>
      <c r="Q110" s="117">
        <v>94.5</v>
      </c>
      <c r="R110" s="117">
        <v>100</v>
      </c>
      <c r="S110" s="117">
        <v>91.9</v>
      </c>
      <c r="T110" s="117">
        <v>109.4</v>
      </c>
      <c r="U110" s="117">
        <v>95.4</v>
      </c>
      <c r="V110" s="117">
        <v>97.6</v>
      </c>
      <c r="W110" s="117">
        <v>109</v>
      </c>
      <c r="X110" s="117">
        <v>90.9</v>
      </c>
      <c r="Y110" s="117">
        <v>58.8</v>
      </c>
      <c r="Z110" s="117">
        <v>100.6</v>
      </c>
      <c r="AA110" s="117">
        <v>88.1</v>
      </c>
      <c r="AB110" s="117">
        <v>76</v>
      </c>
      <c r="AC110" s="117">
        <v>93</v>
      </c>
      <c r="AD110" s="117">
        <v>100</v>
      </c>
      <c r="AE110" s="117">
        <v>97</v>
      </c>
      <c r="AF110" s="117">
        <v>93</v>
      </c>
      <c r="AG110" s="118"/>
      <c r="AH110" s="47">
        <f t="shared" si="8"/>
        <v>109.4</v>
      </c>
      <c r="AI110" s="48">
        <f t="shared" si="9"/>
        <v>58.8</v>
      </c>
    </row>
    <row r="111" spans="1:35" x14ac:dyDescent="0.25">
      <c r="A111" s="116" t="s">
        <v>119</v>
      </c>
      <c r="B111" s="117">
        <v>52</v>
      </c>
      <c r="C111" s="117">
        <v>49</v>
      </c>
      <c r="D111" s="117">
        <v>50</v>
      </c>
      <c r="E111" s="117">
        <v>43.2</v>
      </c>
      <c r="F111" s="117">
        <v>46.2</v>
      </c>
      <c r="G111" s="117">
        <v>47</v>
      </c>
      <c r="H111" s="117">
        <v>35</v>
      </c>
      <c r="I111" s="117">
        <v>41.1</v>
      </c>
      <c r="J111" s="117">
        <v>37.299999999999997</v>
      </c>
      <c r="K111" s="117">
        <v>17.5</v>
      </c>
      <c r="L111" s="117">
        <v>17.5</v>
      </c>
      <c r="M111" s="117">
        <v>13.3</v>
      </c>
      <c r="N111" s="117">
        <v>17.600000000000001</v>
      </c>
      <c r="O111" s="117">
        <v>25.8</v>
      </c>
      <c r="P111" s="117">
        <v>29.5</v>
      </c>
      <c r="Q111" s="117">
        <v>34</v>
      </c>
      <c r="R111" s="117">
        <v>32</v>
      </c>
      <c r="S111" s="117">
        <v>31.7</v>
      </c>
      <c r="T111" s="117">
        <v>35.9</v>
      </c>
      <c r="U111" s="117">
        <v>19.399999999999999</v>
      </c>
      <c r="V111" s="117">
        <v>27</v>
      </c>
      <c r="W111" s="117">
        <v>-36</v>
      </c>
      <c r="X111" s="117">
        <v>32.299999999999997</v>
      </c>
      <c r="Y111" s="117">
        <v>17.3</v>
      </c>
      <c r="Z111" s="117">
        <v>32.799999999999997</v>
      </c>
      <c r="AA111" s="117">
        <v>29.2</v>
      </c>
      <c r="AB111" s="117">
        <v>29</v>
      </c>
      <c r="AC111" s="117">
        <v>22.3</v>
      </c>
      <c r="AD111" s="117">
        <v>30</v>
      </c>
      <c r="AE111" s="117">
        <v>27</v>
      </c>
      <c r="AF111" s="117">
        <v>39</v>
      </c>
      <c r="AG111" s="119"/>
      <c r="AH111" s="47">
        <f t="shared" si="8"/>
        <v>52</v>
      </c>
      <c r="AI111" s="48">
        <f t="shared" si="9"/>
        <v>-36</v>
      </c>
    </row>
    <row r="112" spans="1:35" x14ac:dyDescent="0.25">
      <c r="A112" s="120" t="s">
        <v>120</v>
      </c>
      <c r="B112" s="106">
        <v>7.6</v>
      </c>
      <c r="C112" s="106">
        <v>9.1999999999999993</v>
      </c>
      <c r="D112" s="106">
        <v>9.5</v>
      </c>
      <c r="E112" s="106">
        <v>15.2</v>
      </c>
      <c r="F112" s="106">
        <v>13.2</v>
      </c>
      <c r="G112" s="106">
        <v>8.3000000000000007</v>
      </c>
      <c r="H112" s="106">
        <v>-2.6</v>
      </c>
      <c r="I112" s="106">
        <v>-15</v>
      </c>
      <c r="J112" s="106">
        <v>-35.799999999999997</v>
      </c>
      <c r="K112" s="106">
        <v>-50.8</v>
      </c>
      <c r="L112" s="106">
        <v>-50.8</v>
      </c>
      <c r="M112" s="106">
        <v>-39.6</v>
      </c>
      <c r="N112" s="106">
        <v>-27.5</v>
      </c>
      <c r="O112" s="106">
        <v>-39.799999999999997</v>
      </c>
      <c r="P112" s="106">
        <v>-33.1</v>
      </c>
      <c r="Q112" s="106">
        <v>-29.5</v>
      </c>
      <c r="R112" s="106">
        <v>-25</v>
      </c>
      <c r="S112" s="106">
        <v>-32.1</v>
      </c>
      <c r="T112" s="106">
        <v>-35.9</v>
      </c>
      <c r="U112" s="106">
        <v>-43.4</v>
      </c>
      <c r="V112" s="106">
        <v>-41.7</v>
      </c>
      <c r="W112" s="106">
        <v>-54</v>
      </c>
      <c r="X112" s="106">
        <v>-59.7</v>
      </c>
      <c r="Y112" s="106">
        <v>-56.5</v>
      </c>
      <c r="Z112" s="106">
        <v>-47.5</v>
      </c>
      <c r="AA112" s="106">
        <v>-43.7</v>
      </c>
      <c r="AB112" s="106">
        <v>-34</v>
      </c>
      <c r="AC112" s="106">
        <v>-25.3</v>
      </c>
      <c r="AD112" s="106">
        <v>-17</v>
      </c>
      <c r="AE112" s="106">
        <v>2</v>
      </c>
      <c r="AF112" s="106">
        <v>6</v>
      </c>
      <c r="AG112" s="119"/>
      <c r="AH112" s="47">
        <f t="shared" si="8"/>
        <v>15.2</v>
      </c>
      <c r="AI112" s="48">
        <f t="shared" si="9"/>
        <v>-59.7</v>
      </c>
    </row>
    <row r="113" spans="1:37" ht="15.75" thickBot="1" x14ac:dyDescent="0.3">
      <c r="A113" s="120" t="s">
        <v>121</v>
      </c>
      <c r="B113" s="106">
        <v>51</v>
      </c>
      <c r="C113" s="106">
        <v>49</v>
      </c>
      <c r="D113" s="106">
        <v>48</v>
      </c>
      <c r="E113" s="106">
        <v>45.8</v>
      </c>
      <c r="F113" s="106">
        <v>45</v>
      </c>
      <c r="G113" s="106">
        <v>49.8</v>
      </c>
      <c r="H113" s="106">
        <v>51.8</v>
      </c>
      <c r="I113" s="106">
        <v>56.7</v>
      </c>
      <c r="J113" s="106">
        <v>67.3</v>
      </c>
      <c r="K113" s="106">
        <v>79.900000000000006</v>
      </c>
      <c r="L113" s="106">
        <v>79.900000000000006</v>
      </c>
      <c r="M113" s="106">
        <v>74.2</v>
      </c>
      <c r="N113" s="106">
        <v>70.400000000000006</v>
      </c>
      <c r="O113" s="106">
        <v>75.8</v>
      </c>
      <c r="P113" s="106">
        <v>85</v>
      </c>
      <c r="Q113" s="106">
        <v>82</v>
      </c>
      <c r="R113" s="106">
        <v>71</v>
      </c>
      <c r="S113" s="106">
        <v>83.3</v>
      </c>
      <c r="T113" s="106">
        <v>76.599999999999994</v>
      </c>
      <c r="U113" s="106">
        <v>78.099999999999994</v>
      </c>
      <c r="V113" s="106">
        <v>61.5</v>
      </c>
      <c r="W113" s="106">
        <v>70.599999999999994</v>
      </c>
      <c r="X113" s="106">
        <v>75</v>
      </c>
      <c r="Y113" s="106">
        <v>77.3</v>
      </c>
      <c r="Z113" s="106">
        <v>69.7</v>
      </c>
      <c r="AA113" s="106">
        <v>64.8</v>
      </c>
      <c r="AB113" s="106">
        <v>62</v>
      </c>
      <c r="AC113" s="106">
        <v>62</v>
      </c>
      <c r="AD113" s="106">
        <v>67</v>
      </c>
      <c r="AE113" s="106">
        <v>65</v>
      </c>
      <c r="AF113" s="106">
        <v>58</v>
      </c>
      <c r="AG113" s="119"/>
      <c r="AH113" s="47">
        <f t="shared" si="8"/>
        <v>85</v>
      </c>
      <c r="AI113" s="48">
        <f t="shared" si="9"/>
        <v>45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75" t="s">
        <v>251</v>
      </c>
      <c r="G114" s="175" t="s">
        <v>251</v>
      </c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1492.3400000000001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2079/11/4)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976.33999999999992</v>
      </c>
      <c r="U242" s="170">
        <f t="shared" si="20"/>
        <v>998.33999999999992</v>
      </c>
      <c r="V242" s="170">
        <f t="shared" si="20"/>
        <v>964.74</v>
      </c>
      <c r="W242" s="170">
        <f t="shared" si="20"/>
        <v>989.1400000000001</v>
      </c>
      <c r="X242" s="170">
        <f t="shared" si="20"/>
        <v>985.04</v>
      </c>
      <c r="Y242" s="170">
        <f t="shared" si="20"/>
        <v>1034.94</v>
      </c>
      <c r="Z242" s="170">
        <f t="shared" si="20"/>
        <v>1110.54</v>
      </c>
      <c r="AA242" s="170">
        <f t="shared" si="20"/>
        <v>1144.6400000000001</v>
      </c>
      <c r="AB242" s="170">
        <f t="shared" si="20"/>
        <v>1246.3400000000001</v>
      </c>
      <c r="AC242" s="170">
        <f t="shared" si="20"/>
        <v>1377.54</v>
      </c>
      <c r="AD242" s="170">
        <f t="shared" si="20"/>
        <v>1492.3400000000001</v>
      </c>
      <c r="AE242" s="170">
        <f t="shared" si="20"/>
        <v>1422.7400000000002</v>
      </c>
      <c r="AF242" s="170">
        <f t="shared" si="20"/>
        <v>1350.04</v>
      </c>
      <c r="AG242" s="170">
        <f t="shared" si="20"/>
        <v>1332.3400000000001</v>
      </c>
      <c r="AH242" s="170">
        <f t="shared" si="20"/>
        <v>1243.04</v>
      </c>
      <c r="AI242" s="170">
        <f t="shared" si="20"/>
        <v>1309.6399999999999</v>
      </c>
      <c r="AJ242" s="170">
        <f t="shared" si="20"/>
        <v>1271.6399999999999</v>
      </c>
      <c r="AK242" s="170">
        <f t="shared" si="20"/>
        <v>1301.1399999999999</v>
      </c>
      <c r="AL242" s="170">
        <f t="shared" si="20"/>
        <v>1306.74</v>
      </c>
      <c r="AM242" s="170">
        <f t="shared" si="20"/>
        <v>1281.3400000000001</v>
      </c>
      <c r="AN242" s="170">
        <f t="shared" si="20"/>
        <v>1196.24</v>
      </c>
      <c r="AO242" s="170">
        <f t="shared" si="20"/>
        <v>1324.34</v>
      </c>
      <c r="AP242" s="170">
        <f t="shared" si="20"/>
        <v>1397.34</v>
      </c>
      <c r="AQ242" s="170">
        <f t="shared" si="20"/>
        <v>1563.44</v>
      </c>
      <c r="AR242" s="170">
        <f t="shared" si="20"/>
        <v>1499.54</v>
      </c>
      <c r="AS242" s="170">
        <f t="shared" si="20"/>
        <v>1426.94</v>
      </c>
      <c r="AT242" s="170">
        <f t="shared" si="20"/>
        <v>1366.74</v>
      </c>
      <c r="AU242" s="170">
        <f t="shared" si="20"/>
        <v>1182.54</v>
      </c>
      <c r="AV242" s="170">
        <f t="shared" si="20"/>
        <v>1212.44</v>
      </c>
      <c r="AW242" s="170">
        <f t="shared" si="20"/>
        <v>1144.44</v>
      </c>
      <c r="AX242" s="170">
        <f t="shared" si="20"/>
        <v>1057.8399999999999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696" priority="1">
      <formula>$AH11=0</formula>
    </cfRule>
  </conditionalFormatting>
  <conditionalFormatting sqref="B8 M8 S8 AB8">
    <cfRule type="expression" dxfId="695" priority="243">
      <formula>C$9&lt;8/24</formula>
    </cfRule>
    <cfRule type="expression" dxfId="694" priority="242">
      <formula>AND(C$9&gt;=8/24,C$9&lt;14/24)</formula>
    </cfRule>
    <cfRule type="expression" dxfId="693" priority="241">
      <formula>AND(C$9&gt;=14/24,C$9&lt;20/24)</formula>
    </cfRule>
  </conditionalFormatting>
  <conditionalFormatting sqref="B49:L51">
    <cfRule type="expression" dxfId="688" priority="94">
      <formula>AND(B$9&gt;=8/24,B$9&lt;14/24)</formula>
    </cfRule>
    <cfRule type="expression" dxfId="687" priority="95">
      <formula>B$9&lt;8/24</formula>
    </cfRule>
    <cfRule type="expression" dxfId="686" priority="92">
      <formula>B$9&gt;=20/24</formula>
    </cfRule>
    <cfRule type="expression" dxfId="685" priority="93">
      <formula>AND(B$9&gt;=14/24,B$9&lt;20/24)</formula>
    </cfRule>
  </conditionalFormatting>
  <conditionalFormatting sqref="B49:N53">
    <cfRule type="expression" dxfId="684" priority="86">
      <formula>B49&gt;$AG49</formula>
    </cfRule>
  </conditionalFormatting>
  <conditionalFormatting sqref="B54:O54">
    <cfRule type="expression" dxfId="683" priority="85">
      <formula>B$9&lt;8/24</formula>
    </cfRule>
    <cfRule type="expression" dxfId="682" priority="84">
      <formula>AND(B$9&gt;=8/24,B$9&lt;14/24)</formula>
    </cfRule>
    <cfRule type="expression" dxfId="681" priority="83">
      <formula>AND(B$9&gt;=14/24,B$9&lt;20/24)</formula>
    </cfRule>
    <cfRule type="expression" dxfId="680" priority="82">
      <formula>B$9&gt;=20/24</formula>
    </cfRule>
    <cfRule type="expression" dxfId="679" priority="81">
      <formula>B54&gt;$AG54</formula>
    </cfRule>
  </conditionalFormatting>
  <conditionalFormatting sqref="B11:X11">
    <cfRule type="expression" dxfId="678" priority="23">
      <formula>B$9&gt;=20/24</formula>
    </cfRule>
    <cfRule type="expression" dxfId="677" priority="24">
      <formula>AND(B$9&gt;=14/24,B$9&lt;20/24)</formula>
    </cfRule>
    <cfRule type="expression" dxfId="676" priority="25">
      <formula>AND(B$9&gt;=8/24,B$9&lt;14/24)</formula>
    </cfRule>
    <cfRule type="expression" dxfId="675" priority="26">
      <formula>B$9&lt;8/24</formula>
    </cfRule>
  </conditionalFormatting>
  <conditionalFormatting sqref="B12:X14">
    <cfRule type="expression" dxfId="674" priority="21">
      <formula>B$9&lt;8/24</formula>
    </cfRule>
    <cfRule type="expression" dxfId="673" priority="19">
      <formula>AND(B$9&gt;=14/24,B$9&lt;20/24)</formula>
    </cfRule>
    <cfRule type="expression" dxfId="672" priority="18">
      <formula>B$9&gt;=20/24</formula>
    </cfRule>
    <cfRule type="expression" dxfId="671" priority="20">
      <formula>AND(B$9&gt;=8/24,B$9&lt;14/24)</formula>
    </cfRule>
  </conditionalFormatting>
  <conditionalFormatting sqref="B15:X40">
    <cfRule type="expression" dxfId="670" priority="110">
      <formula>AND(B$9&gt;=14/24,B$9&lt;20/24)</formula>
    </cfRule>
    <cfRule type="expression" dxfId="669" priority="112">
      <formula>B$9&lt;8/24</formula>
    </cfRule>
    <cfRule type="expression" dxfId="668" priority="111">
      <formula>AND(B$9&gt;=8/24,B$9&lt;14/24)</formula>
    </cfRule>
    <cfRule type="expression" dxfId="667" priority="109">
      <formula>B$9&gt;=20/24</formula>
    </cfRule>
  </conditionalFormatting>
  <conditionalFormatting sqref="B41:X41">
    <cfRule type="expression" dxfId="666" priority="17">
      <formula>B$9&lt;8/24</formula>
    </cfRule>
    <cfRule type="expression" dxfId="665" priority="16">
      <formula>AND(B$9&gt;=8/24,B$9&lt;14/24)</formula>
    </cfRule>
    <cfRule type="expression" dxfId="664" priority="15">
      <formula>AND(B$9&gt;=14/24,B$9&lt;20/24)</formula>
    </cfRule>
    <cfRule type="expression" dxfId="663" priority="14">
      <formula>B$9&gt;=20/24</formula>
    </cfRule>
  </conditionalFormatting>
  <conditionalFormatting sqref="B42:X42">
    <cfRule type="expression" dxfId="662" priority="74">
      <formula>AND(B$9&gt;=14/24,B$9&lt;20/24)</formula>
    </cfRule>
    <cfRule type="expression" dxfId="661" priority="73">
      <formula>B$9&gt;=20/24</formula>
    </cfRule>
    <cfRule type="expression" dxfId="660" priority="75">
      <formula>AND(B$9&gt;=8/24,B$9&lt;14/24)</formula>
    </cfRule>
    <cfRule type="expression" dxfId="659" priority="76">
      <formula>B$9&lt;8/24</formula>
    </cfRule>
  </conditionalFormatting>
  <conditionalFormatting sqref="B9:AF10 B220:AF220 D222:AF223 B222:B228 D224:H224 J224:AF224 D225:AF228 U241:AF241">
    <cfRule type="expression" dxfId="658" priority="235">
      <formula>AND(B$9&gt;=14/24,B$9&lt;20/24)</formula>
    </cfRule>
    <cfRule type="expression" dxfId="657" priority="234">
      <formula>B$9&gt;=20/24</formula>
    </cfRule>
    <cfRule type="expression" dxfId="656" priority="236">
      <formula>AND(B$9&gt;=8/24,B$9&lt;14/24)</formula>
    </cfRule>
    <cfRule type="expression" dxfId="655" priority="237">
      <formula>B$9&lt;8/24</formula>
    </cfRule>
  </conditionalFormatting>
  <conditionalFormatting sqref="B11:AF48">
    <cfRule type="expression" dxfId="654" priority="22">
      <formula>B11&gt;$AG11</formula>
    </cfRule>
  </conditionalFormatting>
  <conditionalFormatting sqref="B43:AF43">
    <cfRule type="expression" dxfId="653" priority="107">
      <formula>AND(B$9&gt;=8/24,B$9&lt;14/24)</formula>
    </cfRule>
    <cfRule type="expression" dxfId="652" priority="106">
      <formula>AND(B$9&gt;=14/24,B$9&lt;20/24)</formula>
    </cfRule>
    <cfRule type="expression" dxfId="651" priority="105">
      <formula>B$9&gt;=20/24</formula>
    </cfRule>
    <cfRule type="expression" dxfId="650" priority="108">
      <formula>B$9&lt;8/24</formula>
    </cfRule>
  </conditionalFormatting>
  <conditionalFormatting sqref="B45:AF48">
    <cfRule type="expression" dxfId="649" priority="50">
      <formula>B$9&gt;=20/24</formula>
    </cfRule>
    <cfRule type="expression" dxfId="648" priority="51">
      <formula>AND(B$9&gt;=14/24,B$9&lt;20/24)</formula>
    </cfRule>
    <cfRule type="expression" dxfId="647" priority="52">
      <formula>AND(B$9&gt;=8/24,B$9&lt;14/24)</formula>
    </cfRule>
    <cfRule type="expression" dxfId="646" priority="53">
      <formula>B$9&lt;8/24</formula>
    </cfRule>
  </conditionalFormatting>
  <conditionalFormatting sqref="B55:AF60">
    <cfRule type="expression" dxfId="645" priority="30">
      <formula>AND(B$9&gt;=14/24,B$9&lt;20/24)</formula>
    </cfRule>
    <cfRule type="expression" dxfId="644" priority="31">
      <formula>AND(B$9&gt;=8/24,B$9&lt;14/24)</formula>
    </cfRule>
    <cfRule type="expression" dxfId="643" priority="29">
      <formula>B$9&gt;=20/24</formula>
    </cfRule>
    <cfRule type="expression" dxfId="642" priority="32">
      <formula>B$9&lt;8/24</formula>
    </cfRule>
  </conditionalFormatting>
  <conditionalFormatting sqref="B55:AF66">
    <cfRule type="expression" dxfId="641" priority="28">
      <formula>B55&gt;$AG55</formula>
    </cfRule>
  </conditionalFormatting>
  <conditionalFormatting sqref="B63:AF72">
    <cfRule type="expression" dxfId="640" priority="69">
      <formula>AND(B$9&gt;=14/24,B$9&lt;20/24)</formula>
    </cfRule>
    <cfRule type="expression" dxfId="639" priority="70">
      <formula>AND(B$9&gt;=8/24,B$9&lt;14/24)</formula>
    </cfRule>
    <cfRule type="expression" dxfId="638" priority="71">
      <formula>B$9&lt;8/24</formula>
    </cfRule>
    <cfRule type="expression" dxfId="637" priority="68">
      <formula>B$9&gt;=20/24</formula>
    </cfRule>
  </conditionalFormatting>
  <conditionalFormatting sqref="B73:AF85">
    <cfRule type="expression" dxfId="636" priority="10">
      <formula>B$9&gt;=20/24</formula>
    </cfRule>
    <cfRule type="expression" dxfId="635" priority="11">
      <formula>AND(B$9&gt;=14/24,B$9&lt;20/24)</formula>
    </cfRule>
    <cfRule type="expression" dxfId="634" priority="12">
      <formula>AND(B$9&gt;=8/24,B$9&lt;14/24)</formula>
    </cfRule>
    <cfRule type="expression" dxfId="633" priority="13">
      <formula>B$9&lt;8/24</formula>
    </cfRule>
  </conditionalFormatting>
  <conditionalFormatting sqref="B87:AF103">
    <cfRule type="expression" dxfId="628" priority="46">
      <formula>AND(B$9&gt;=14/24,B$9&lt;20/24)</formula>
    </cfRule>
    <cfRule type="expression" dxfId="627" priority="45">
      <formula>B$9&gt;=20/24</formula>
    </cfRule>
    <cfRule type="expression" dxfId="626" priority="48">
      <formula>B$9&lt;8/24</formula>
    </cfRule>
    <cfRule type="expression" dxfId="625" priority="47">
      <formula>AND(B$9&gt;=8/24,B$9&lt;14/24)</formula>
    </cfRule>
  </conditionalFormatting>
  <conditionalFormatting sqref="B105:AF112">
    <cfRule type="expression" dxfId="624" priority="35">
      <formula>AND(B$9&gt;=8/24,B$9&lt;14/24)</formula>
    </cfRule>
    <cfRule type="expression" dxfId="623" priority="33">
      <formula>B$9&gt;=20/24</formula>
    </cfRule>
    <cfRule type="expression" dxfId="622" priority="34">
      <formula>AND(B$9&gt;=14/24,B$9&lt;20/24)</formula>
    </cfRule>
    <cfRule type="expression" dxfId="621" priority="36">
      <formula>B$9&lt;8/24</formula>
    </cfRule>
  </conditionalFormatting>
  <conditionalFormatting sqref="M49:Q49">
    <cfRule type="expression" dxfId="616" priority="203">
      <formula>M$9&lt;8/24</formula>
    </cfRule>
    <cfRule type="expression" dxfId="615" priority="202">
      <formula>AND(M$9&gt;=8/24,M$9&lt;14/24)</formula>
    </cfRule>
    <cfRule type="expression" dxfId="614" priority="201">
      <formula>AND(M$9&gt;=14/24,M$9&lt;20/24)</formula>
    </cfRule>
    <cfRule type="expression" dxfId="613" priority="200">
      <formula>M$9&gt;=20/24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49:P52 O53 P53:P54">
    <cfRule type="expression" dxfId="612" priority="199">
      <formula>O49&gt;$AG49</formula>
    </cfRule>
  </conditionalFormatting>
  <conditionalFormatting sqref="O50:P52 M50:N53 Q50:Q54 O53 P53:P54">
    <cfRule type="expression" dxfId="611" priority="207">
      <formula>M$9&lt;8/24</formula>
    </cfRule>
    <cfRule type="expression" dxfId="610" priority="205">
      <formula>AND(M$9&gt;=14/24,M$9&lt;20/24)</formula>
    </cfRule>
    <cfRule type="expression" dxfId="609" priority="206">
      <formula>AND(M$9&gt;=8/24,M$9&lt;14/24)</formula>
    </cfRule>
  </conditionalFormatting>
  <conditionalFormatting sqref="O50:P52 O53 P53:P54 Q50:Q54 M50:N53">
    <cfRule type="expression" dxfId="608" priority="204">
      <formula>M$9&gt;=20/24</formula>
    </cfRule>
  </conditionalFormatting>
  <conditionalFormatting sqref="Q49:AF54">
    <cfRule type="expression" dxfId="607" priority="161">
      <formula>Q49&gt;$AG49</formula>
    </cfRule>
  </conditionalFormatting>
  <conditionalFormatting sqref="R49:AF54">
    <cfRule type="expression" dxfId="606" priority="163">
      <formula>AND(R$9&gt;=14/24,R$9&lt;20/24)</formula>
    </cfRule>
    <cfRule type="expression" dxfId="605" priority="162">
      <formula>R$9&gt;=20/24</formula>
    </cfRule>
    <cfRule type="expression" dxfId="604" priority="164">
      <formula>AND(R$9&gt;=8/24,R$9&lt;14/24)</formula>
    </cfRule>
    <cfRule type="expression" dxfId="603" priority="165">
      <formula>R$9&lt;8/24</formula>
    </cfRule>
  </conditionalFormatting>
  <conditionalFormatting sqref="S8 AB8 B8 M8">
    <cfRule type="expression" dxfId="602" priority="240">
      <formula>C$9&gt;=20/24</formula>
    </cfRule>
  </conditionalFormatting>
  <conditionalFormatting sqref="S8">
    <cfRule type="expression" dxfId="601" priority="215">
      <formula>AND(U$9&gt;=8/24,U$9&lt;14/24)</formula>
    </cfRule>
    <cfRule type="expression" dxfId="600" priority="214">
      <formula>AND(U$9&gt;=14/24,U$9&lt;20/24)</formula>
    </cfRule>
    <cfRule type="expression" dxfId="599" priority="216">
      <formula>U$9&lt;8/24</formula>
    </cfRule>
    <cfRule type="expression" dxfId="598" priority="213">
      <formula>U$9&gt;=20/24</formula>
    </cfRule>
  </conditionalFormatting>
  <conditionalFormatting sqref="T241">
    <cfRule type="expression" dxfId="597" priority="253">
      <formula>AX$9&gt;=20/24</formula>
    </cfRule>
    <cfRule type="expression" dxfId="596" priority="254">
      <formula>AND(AX$9&gt;=14/24,AX$9&lt;20/24)</formula>
    </cfRule>
    <cfRule type="expression" dxfId="595" priority="255">
      <formula>AND(AX$9&gt;=8/24,AX$9&lt;14/24)</formula>
    </cfRule>
    <cfRule type="expression" dxfId="594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11:AF42">
    <cfRule type="expression" dxfId="593" priority="176">
      <formula>Y$9&gt;=20/24</formula>
    </cfRule>
    <cfRule type="expression" dxfId="592" priority="178">
      <formula>AND(Y$9&gt;=8/24,Y$9&lt;14/24)</formula>
    </cfRule>
    <cfRule type="expression" dxfId="591" priority="179">
      <formula>Y$9&lt;8/24</formula>
    </cfRule>
    <cfRule type="expression" dxfId="590" priority="177">
      <formula>AND(Y$9&gt;=14/24,Y$9&lt;20/24)</formula>
    </cfRule>
  </conditionalFormatting>
  <conditionalFormatting sqref="AB8">
    <cfRule type="expression" dxfId="589" priority="212">
      <formula>AD$9&lt;8/24</formula>
    </cfRule>
    <cfRule type="expression" dxfId="588" priority="211">
      <formula>AND(AD$9&gt;=8/24,AD$9&lt;14/24)</formula>
    </cfRule>
    <cfRule type="expression" dxfId="587" priority="210">
      <formula>AND(AD$9&gt;=14/24,AD$9&lt;20/24)</formula>
    </cfRule>
    <cfRule type="expression" dxfId="586" priority="209">
      <formula>AD$9&gt;=20/24</formula>
    </cfRule>
  </conditionalFormatting>
  <conditionalFormatting sqref="AG44 AG61:AG62 AG66">
    <cfRule type="expression" dxfId="585" priority="166">
      <formula>AG44&gt;$AG44</formula>
    </cfRule>
  </conditionalFormatting>
  <conditionalFormatting sqref="AG48">
    <cfRule type="expression" dxfId="584" priority="150">
      <formula>AG$9&lt;8/24</formula>
    </cfRule>
    <cfRule type="expression" dxfId="583" priority="147">
      <formula>AG$9&gt;=20/24</formula>
    </cfRule>
    <cfRule type="expression" dxfId="582" priority="148">
      <formula>AND(AG$9&gt;=14/24,AG$9&lt;20/24)</formula>
    </cfRule>
    <cfRule type="expression" dxfId="581" priority="146">
      <formula>AG48&gt;$AG48</formula>
    </cfRule>
    <cfRule type="expression" dxfId="580" priority="149">
      <formula>AND(AG$9&gt;=8/24,AG$9&lt;14/24)</formula>
    </cfRule>
  </conditionalFormatting>
  <conditionalFormatting sqref="AG66 AG83">
    <cfRule type="expression" dxfId="579" priority="170">
      <formula>AG$9&lt;8/24</formula>
    </cfRule>
    <cfRule type="expression" dxfId="578" priority="169">
      <formula>AND(AG$9&gt;=8/24,AG$9&lt;14/24)</formula>
    </cfRule>
    <cfRule type="expression" dxfId="577" priority="167">
      <formula>AG$9&gt;=20/24</formula>
    </cfRule>
    <cfRule type="expression" dxfId="576" priority="168">
      <formula>AND(AG$9&gt;=14/24,AG$9&lt;20/24)</formula>
    </cfRule>
  </conditionalFormatting>
  <conditionalFormatting sqref="AG241">
    <cfRule type="expression" dxfId="575" priority="246">
      <formula>AND(B$9&gt;=14/24,B$9&lt;20/24)</formula>
    </cfRule>
    <cfRule type="expression" dxfId="574" priority="245">
      <formula>B$9&gt;=20/24</formula>
    </cfRule>
    <cfRule type="expression" dxfId="573" priority="248">
      <formula>B$9&lt;8/24</formula>
    </cfRule>
    <cfRule type="expression" dxfId="572" priority="247">
      <formula>AND(B$9&gt;=8/24,B$9&lt;14/24)</formula>
    </cfRule>
  </conditionalFormatting>
  <conditionalFormatting sqref="AH241:AX241">
    <cfRule type="expression" dxfId="571" priority="250">
      <formula>AND(AG$9&gt;=14/24,AG$9&lt;20/24)</formula>
    </cfRule>
    <cfRule type="expression" dxfId="570" priority="251">
      <formula>AND(AG$9&gt;=8/24,AG$9&lt;14/24)</formula>
    </cfRule>
    <cfRule type="expression" dxfId="569" priority="252">
      <formula>AG$9&lt;8/24</formula>
    </cfRule>
    <cfRule type="expression" dxfId="568" priority="249">
      <formula>AG$9&gt;=20/24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567" priority="261">
      <formula>AJ$9&lt;8/24</formula>
    </cfRule>
    <cfRule type="expression" dxfId="566" priority="258">
      <formula>AJ$9&gt;=20/24</formula>
    </cfRule>
    <cfRule type="expression" dxfId="565" priority="259">
      <formula>AND(AJ$9&gt;=14/24,AJ$9&lt;20/24)</formula>
    </cfRule>
    <cfRule type="expression" dxfId="564" priority="260">
      <formula>AND(AJ$9&gt;=8/24,AJ$9&lt;14/24)</formula>
    </cfRule>
  </conditionalFormatting>
  <conditionalFormatting sqref="AL74:AN74 AL80:AN80">
    <cfRule type="expression" dxfId="563" priority="9">
      <formula>AL$9&lt;8/24</formula>
    </cfRule>
    <cfRule type="expression" dxfId="562" priority="8">
      <formula>AND(AL$9&gt;=8/24,AL$9&lt;14/24)</formula>
    </cfRule>
    <cfRule type="expression" dxfId="561" priority="7">
      <formula>AND(AL$9&gt;=14/24,AL$9&lt;20/24)</formula>
    </cfRule>
    <cfRule type="expression" dxfId="560" priority="6">
      <formula>AL$9&gt;=20/24</formula>
    </cfRule>
  </conditionalFormatting>
  <conditionalFormatting sqref="AN75:AN78">
    <cfRule type="expression" dxfId="559" priority="4">
      <formula>AND(AN$9&gt;=8/24,AN$9&lt;14/24)</formula>
    </cfRule>
    <cfRule type="expression" dxfId="558" priority="5">
      <formula>AN$9&lt;8/24</formula>
    </cfRule>
    <cfRule type="expression" dxfId="557" priority="3">
      <formula>AND(AN$9&gt;=14/24,AN$9&lt;20/24)</formula>
    </cfRule>
    <cfRule type="expression" dxfId="556" priority="2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D405D0F4-2210-4C53-9F86-0127D82EEE1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671DE4C5-126E-46A8-90EF-E359D80A7FF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" id="{A075CC37-CD29-4E2A-8393-7168DE0571C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" id="{FFBE8B28-C1FF-4BC4-8B38-3C08A43BC29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3" id="{5674F6AF-B6C8-4CA8-AD97-634736974C0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65A1F2D3-6702-497F-8800-5422BA6DAD2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47B9B4CB-C8E3-473F-95C2-2FF8BB6E575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98E2D1ED-89F9-4237-9392-6777026050D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4" id="{4BD6CBE5-9787-4369-B26F-49221F28DC6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A9B550A3-6037-4B6A-BCF9-A57AB83BC8A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BF495DC9-5CB7-42C4-924B-C9F401DE2ED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B6B77DDB-20AA-4EEC-B955-C060A5ECD64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74"/>
  <sheetViews>
    <sheetView topLeftCell="B1" zoomScaleNormal="100" workbookViewId="0">
      <pane ySplit="10" topLeftCell="A11" activePane="bottomLeft" state="frozen"/>
      <selection activeCell="Z85" sqref="Z85"/>
      <selection pane="bottomLeft" activeCell="AH11" sqref="AH11:AI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2079/11/5</v>
      </c>
      <c r="C4" s="208"/>
      <c r="D4" s="208"/>
      <c r="E4" s="209" t="str">
        <f ca="1">"2079/"&amp;"11/"&amp;INT(MID(CELL("filename",G6),FIND("]",CELL("filename",G6))+1,200))</f>
        <v>2079/11/5</v>
      </c>
      <c r="F4" s="209"/>
      <c r="G4" s="209"/>
      <c r="H4" s="209" t="str">
        <f ca="1">TEXT(E4,"dddd")</f>
        <v>Sunday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460</v>
      </c>
      <c r="C5" s="30">
        <f t="shared" si="0"/>
        <v>459</v>
      </c>
      <c r="D5" s="30">
        <f t="shared" si="0"/>
        <v>495.5</v>
      </c>
      <c r="E5" s="30">
        <f t="shared" si="0"/>
        <v>495.7</v>
      </c>
      <c r="F5" s="30">
        <f t="shared" si="0"/>
        <v>478.6</v>
      </c>
      <c r="G5" s="30">
        <f t="shared" si="0"/>
        <v>511.1</v>
      </c>
      <c r="H5" s="30">
        <f t="shared" si="0"/>
        <v>503.3</v>
      </c>
      <c r="I5" s="30">
        <f t="shared" si="0"/>
        <v>322</v>
      </c>
      <c r="J5" s="30">
        <f t="shared" si="0"/>
        <v>240.5</v>
      </c>
      <c r="K5" s="30">
        <f t="shared" si="0"/>
        <v>228.4</v>
      </c>
      <c r="L5" s="30">
        <f t="shared" si="0"/>
        <v>259.5</v>
      </c>
      <c r="M5" s="30">
        <f t="shared" si="0"/>
        <v>381.2</v>
      </c>
      <c r="N5" s="30">
        <f t="shared" si="0"/>
        <v>261.2</v>
      </c>
      <c r="O5" s="30">
        <f t="shared" si="0"/>
        <v>451.59999999999997</v>
      </c>
      <c r="P5" s="30">
        <f t="shared" si="0"/>
        <v>479.9</v>
      </c>
      <c r="Q5" s="30">
        <f t="shared" si="0"/>
        <v>459.3</v>
      </c>
      <c r="R5" s="30">
        <f t="shared" si="0"/>
        <v>504.8</v>
      </c>
      <c r="S5" s="30">
        <f t="shared" si="0"/>
        <v>504.8</v>
      </c>
      <c r="T5" s="30">
        <f t="shared" si="0"/>
        <v>508.6</v>
      </c>
      <c r="U5" s="30">
        <f t="shared" si="0"/>
        <v>470</v>
      </c>
      <c r="V5" s="30">
        <f t="shared" si="0"/>
        <v>490</v>
      </c>
      <c r="W5" s="30">
        <f t="shared" si="0"/>
        <v>432.4</v>
      </c>
      <c r="X5" s="30">
        <f t="shared" si="0"/>
        <v>260.8</v>
      </c>
      <c r="Y5" s="30">
        <f t="shared" si="0"/>
        <v>165.8</v>
      </c>
      <c r="Z5" s="30">
        <f t="shared" si="0"/>
        <v>177.3</v>
      </c>
      <c r="AA5" s="30">
        <f t="shared" si="0"/>
        <v>231.8</v>
      </c>
      <c r="AB5" s="30">
        <f t="shared" si="0"/>
        <v>469</v>
      </c>
      <c r="AC5" s="30">
        <f t="shared" si="0"/>
        <v>441</v>
      </c>
      <c r="AD5" s="30">
        <f t="shared" si="0"/>
        <v>451</v>
      </c>
      <c r="AE5" s="30">
        <f t="shared" si="0"/>
        <v>453</v>
      </c>
      <c r="AF5" s="30">
        <f>B78</f>
        <v>468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1474MW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Load=980</v>
      </c>
      <c r="B7" s="35">
        <f t="shared" ref="B7:AF7" si="1">B85</f>
        <v>1030.24</v>
      </c>
      <c r="C7" s="35">
        <f t="shared" si="1"/>
        <v>1035.24</v>
      </c>
      <c r="D7" s="35">
        <f t="shared" si="1"/>
        <v>990.84</v>
      </c>
      <c r="E7" s="35">
        <f t="shared" si="1"/>
        <v>996.54000000000008</v>
      </c>
      <c r="F7" s="35">
        <f t="shared" si="1"/>
        <v>1029.74</v>
      </c>
      <c r="G7" s="35">
        <f t="shared" si="1"/>
        <v>1027.94</v>
      </c>
      <c r="H7" s="35">
        <f t="shared" si="1"/>
        <v>1115.94</v>
      </c>
      <c r="I7" s="35">
        <f t="shared" si="1"/>
        <v>1128.94</v>
      </c>
      <c r="J7" s="35">
        <f t="shared" si="1"/>
        <v>1202.7400000000002</v>
      </c>
      <c r="K7" s="35">
        <f t="shared" si="1"/>
        <v>1339.7400000000002</v>
      </c>
      <c r="L7" s="35">
        <f t="shared" si="1"/>
        <v>1473.6400000000003</v>
      </c>
      <c r="M7" s="35">
        <f t="shared" si="1"/>
        <v>1465.3400000000001</v>
      </c>
      <c r="N7" s="35">
        <f>N85</f>
        <v>1380.14</v>
      </c>
      <c r="O7" s="35">
        <f t="shared" si="1"/>
        <v>1309.6400000000001</v>
      </c>
      <c r="P7" s="35">
        <f t="shared" si="1"/>
        <v>1295.04</v>
      </c>
      <c r="Q7" s="35">
        <f t="shared" si="1"/>
        <v>1260.04</v>
      </c>
      <c r="R7" s="35">
        <f t="shared" si="1"/>
        <v>1261.3400000000001</v>
      </c>
      <c r="S7" s="35">
        <f t="shared" si="1"/>
        <v>1295.44</v>
      </c>
      <c r="T7" s="35">
        <f t="shared" si="1"/>
        <v>1225.04</v>
      </c>
      <c r="U7" s="35">
        <f t="shared" si="1"/>
        <v>1220.8400000000001</v>
      </c>
      <c r="V7" s="35">
        <f t="shared" si="1"/>
        <v>1248.04</v>
      </c>
      <c r="W7" s="35">
        <f t="shared" si="1"/>
        <v>1193.1399999999999</v>
      </c>
      <c r="X7" s="35">
        <f t="shared" si="1"/>
        <v>1389.1399999999999</v>
      </c>
      <c r="Y7" s="35">
        <f t="shared" si="1"/>
        <v>1539.8400000000001</v>
      </c>
      <c r="Z7" s="35">
        <f t="shared" si="1"/>
        <v>1464.54</v>
      </c>
      <c r="AA7" s="35">
        <f t="shared" si="1"/>
        <v>1382.04</v>
      </c>
      <c r="AB7" s="35">
        <f t="shared" si="1"/>
        <v>1196.8399999999999</v>
      </c>
      <c r="AC7" s="35">
        <f t="shared" si="1"/>
        <v>1295.54</v>
      </c>
      <c r="AD7" s="35">
        <f t="shared" si="1"/>
        <v>1129.54</v>
      </c>
      <c r="AE7" s="35">
        <f t="shared" si="1"/>
        <v>1111.54</v>
      </c>
      <c r="AF7" s="35">
        <f t="shared" si="1"/>
        <v>979.54000000000008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16.5</v>
      </c>
      <c r="C11" s="45">
        <v>16.5</v>
      </c>
      <c r="D11" s="45">
        <v>16.5</v>
      </c>
      <c r="E11" s="45">
        <v>16.600000000000001</v>
      </c>
      <c r="F11" s="45">
        <v>16.600000000000001</v>
      </c>
      <c r="G11" s="45">
        <v>16.600000000000001</v>
      </c>
      <c r="H11" s="45">
        <v>16.8</v>
      </c>
      <c r="I11" s="45">
        <v>16.8</v>
      </c>
      <c r="J11" s="45">
        <v>16.8</v>
      </c>
      <c r="K11" s="45">
        <v>16.8</v>
      </c>
      <c r="L11" s="45">
        <v>16.8</v>
      </c>
      <c r="M11" s="45">
        <v>16.8</v>
      </c>
      <c r="N11" s="45">
        <v>16.8</v>
      </c>
      <c r="O11" s="45">
        <v>16.8</v>
      </c>
      <c r="P11" s="45">
        <v>16.8</v>
      </c>
      <c r="Q11" s="45">
        <v>16.8</v>
      </c>
      <c r="R11" s="45">
        <v>16.8</v>
      </c>
      <c r="S11" s="45">
        <v>16.8</v>
      </c>
      <c r="T11" s="45">
        <v>16.8</v>
      </c>
      <c r="U11" s="45">
        <v>16.8</v>
      </c>
      <c r="V11" s="45">
        <v>15.9</v>
      </c>
      <c r="W11" s="45">
        <v>15.9</v>
      </c>
      <c r="X11" s="45">
        <v>15.9</v>
      </c>
      <c r="Y11" s="45">
        <v>17</v>
      </c>
      <c r="Z11" s="45">
        <v>17</v>
      </c>
      <c r="AA11" s="45">
        <v>17</v>
      </c>
      <c r="AB11" s="45">
        <v>17</v>
      </c>
      <c r="AC11" s="45">
        <v>17</v>
      </c>
      <c r="AD11" s="45">
        <v>17</v>
      </c>
      <c r="AE11" s="45">
        <v>17</v>
      </c>
      <c r="AF11" s="45">
        <v>17</v>
      </c>
      <c r="AG11" s="46">
        <v>52.4</v>
      </c>
      <c r="AH11" s="47">
        <f t="shared" ref="AH11:AH74" si="2">MAX(B11:AF11)</f>
        <v>17</v>
      </c>
      <c r="AI11" s="48">
        <f t="shared" ref="AI11:AI74" si="3">MIN(B11:AF11)</f>
        <v>15.9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31.5</v>
      </c>
      <c r="C12" s="45">
        <v>31.5</v>
      </c>
      <c r="D12" s="45">
        <v>31.5</v>
      </c>
      <c r="E12" s="45">
        <v>31.5</v>
      </c>
      <c r="F12" s="45">
        <v>31.5</v>
      </c>
      <c r="G12" s="45">
        <v>31.5</v>
      </c>
      <c r="H12" s="45">
        <v>30.8</v>
      </c>
      <c r="I12" s="45">
        <v>30.8</v>
      </c>
      <c r="J12" s="45">
        <v>30.8</v>
      </c>
      <c r="K12" s="45">
        <v>30.8</v>
      </c>
      <c r="L12" s="45">
        <v>30.8</v>
      </c>
      <c r="M12" s="45">
        <v>30.8</v>
      </c>
      <c r="N12" s="45">
        <v>30.8</v>
      </c>
      <c r="O12" s="45">
        <v>30.8</v>
      </c>
      <c r="P12" s="45">
        <v>30.8</v>
      </c>
      <c r="Q12" s="45">
        <v>30.8</v>
      </c>
      <c r="R12" s="45">
        <v>30.8</v>
      </c>
      <c r="S12" s="45">
        <v>30.8</v>
      </c>
      <c r="T12" s="45">
        <v>30.8</v>
      </c>
      <c r="U12" s="45">
        <v>30.8</v>
      </c>
      <c r="V12" s="45">
        <v>30.8</v>
      </c>
      <c r="W12" s="45">
        <v>30.8</v>
      </c>
      <c r="X12" s="45">
        <v>30.8</v>
      </c>
      <c r="Y12" s="45">
        <v>30.5</v>
      </c>
      <c r="Z12" s="45">
        <v>30.5</v>
      </c>
      <c r="AA12" s="45">
        <v>30.5</v>
      </c>
      <c r="AB12" s="45">
        <v>30.5</v>
      </c>
      <c r="AC12" s="45">
        <v>30.5</v>
      </c>
      <c r="AD12" s="45">
        <v>30.5</v>
      </c>
      <c r="AE12" s="45">
        <v>30.5</v>
      </c>
      <c r="AF12" s="45">
        <v>30.5</v>
      </c>
      <c r="AG12" s="50">
        <v>50</v>
      </c>
      <c r="AH12" s="47">
        <f t="shared" si="2"/>
        <v>31.5</v>
      </c>
      <c r="AI12" s="48">
        <f t="shared" si="3"/>
        <v>30.5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16.100000000000001</v>
      </c>
      <c r="C13" s="45">
        <v>16.100000000000001</v>
      </c>
      <c r="D13" s="45">
        <v>16.100000000000001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19.100000000000001</v>
      </c>
      <c r="Y13" s="45">
        <v>15.6</v>
      </c>
      <c r="Z13" s="45">
        <v>15.6</v>
      </c>
      <c r="AA13" s="45">
        <v>15.6</v>
      </c>
      <c r="AB13" s="45">
        <v>15.6</v>
      </c>
      <c r="AC13" s="45">
        <v>15.6</v>
      </c>
      <c r="AD13" s="45">
        <v>15.6</v>
      </c>
      <c r="AE13" s="45">
        <v>15.6</v>
      </c>
      <c r="AF13" s="45">
        <v>15.6</v>
      </c>
      <c r="AG13" s="50">
        <v>45</v>
      </c>
      <c r="AH13" s="47">
        <f t="shared" si="2"/>
        <v>19.100000000000001</v>
      </c>
      <c r="AI13" s="48">
        <f t="shared" si="3"/>
        <v>15.6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9.5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8.3000000000000007</v>
      </c>
      <c r="C16" s="45">
        <v>8.3000000000000007</v>
      </c>
      <c r="D16" s="45">
        <v>8.3000000000000007</v>
      </c>
      <c r="E16" s="45">
        <v>8.3000000000000007</v>
      </c>
      <c r="F16" s="45">
        <v>8.3000000000000007</v>
      </c>
      <c r="G16" s="45">
        <v>8.3000000000000007</v>
      </c>
      <c r="H16" s="45">
        <v>7.9</v>
      </c>
      <c r="I16" s="45">
        <v>7.9</v>
      </c>
      <c r="J16" s="45">
        <v>7.9</v>
      </c>
      <c r="K16" s="45">
        <v>7.9</v>
      </c>
      <c r="L16" s="45">
        <v>7.9</v>
      </c>
      <c r="M16" s="45">
        <v>7.9</v>
      </c>
      <c r="N16" s="45">
        <v>7.9</v>
      </c>
      <c r="O16" s="45">
        <v>7.9</v>
      </c>
      <c r="P16" s="45">
        <v>7.9</v>
      </c>
      <c r="Q16" s="45">
        <v>7.9</v>
      </c>
      <c r="R16" s="45">
        <v>7.9</v>
      </c>
      <c r="S16" s="45">
        <v>7.9</v>
      </c>
      <c r="T16" s="45">
        <v>7.9</v>
      </c>
      <c r="U16" s="45">
        <v>7.9</v>
      </c>
      <c r="V16" s="45">
        <v>7.9</v>
      </c>
      <c r="W16" s="45">
        <v>7.9</v>
      </c>
      <c r="X16" s="45">
        <v>7.9</v>
      </c>
      <c r="Y16" s="45">
        <v>7.9</v>
      </c>
      <c r="Z16" s="45">
        <v>7.9</v>
      </c>
      <c r="AA16" s="45">
        <v>7.9</v>
      </c>
      <c r="AB16" s="45">
        <v>7.9</v>
      </c>
      <c r="AC16" s="45">
        <v>7.9</v>
      </c>
      <c r="AD16" s="45">
        <v>7.9</v>
      </c>
      <c r="AE16" s="45">
        <v>7.9</v>
      </c>
      <c r="AF16" s="45">
        <v>7.9</v>
      </c>
      <c r="AG16" s="51">
        <v>30</v>
      </c>
      <c r="AH16" s="47">
        <f t="shared" si="2"/>
        <v>8.3000000000000007</v>
      </c>
      <c r="AI16" s="48">
        <f t="shared" si="3"/>
        <v>7.9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</v>
      </c>
      <c r="C17" s="45">
        <v>7</v>
      </c>
      <c r="D17" s="45">
        <v>7</v>
      </c>
      <c r="E17" s="45">
        <v>7</v>
      </c>
      <c r="F17" s="45">
        <v>7</v>
      </c>
      <c r="G17" s="45">
        <v>7</v>
      </c>
      <c r="H17" s="45">
        <v>7</v>
      </c>
      <c r="I17" s="45">
        <v>7</v>
      </c>
      <c r="J17" s="45">
        <v>7</v>
      </c>
      <c r="K17" s="45">
        <v>7</v>
      </c>
      <c r="L17" s="45">
        <v>7</v>
      </c>
      <c r="M17" s="45">
        <v>7</v>
      </c>
      <c r="N17" s="45">
        <v>7</v>
      </c>
      <c r="O17" s="45">
        <v>7</v>
      </c>
      <c r="P17" s="45">
        <v>7</v>
      </c>
      <c r="Q17" s="45">
        <v>7</v>
      </c>
      <c r="R17" s="45">
        <v>7</v>
      </c>
      <c r="S17" s="45">
        <v>7</v>
      </c>
      <c r="T17" s="45">
        <v>7</v>
      </c>
      <c r="U17" s="45">
        <v>7</v>
      </c>
      <c r="V17" s="45">
        <v>7</v>
      </c>
      <c r="W17" s="45">
        <v>7</v>
      </c>
      <c r="X17" s="45">
        <v>7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50">
        <v>23.5</v>
      </c>
      <c r="AH24" s="47">
        <f t="shared" si="2"/>
        <v>7.3</v>
      </c>
      <c r="AI24" s="48">
        <f t="shared" si="3"/>
        <v>7.3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359.6</v>
      </c>
      <c r="C44" s="60">
        <f t="shared" si="4"/>
        <v>359.6</v>
      </c>
      <c r="D44" s="60">
        <f t="shared" si="4"/>
        <v>359.6</v>
      </c>
      <c r="E44" s="60">
        <f t="shared" si="4"/>
        <v>362.70000000000005</v>
      </c>
      <c r="F44" s="60">
        <f t="shared" si="4"/>
        <v>362.70000000000005</v>
      </c>
      <c r="G44" s="60">
        <f t="shared" si="4"/>
        <v>362.70000000000005</v>
      </c>
      <c r="H44" s="60">
        <f t="shared" si="4"/>
        <v>362.30000000000007</v>
      </c>
      <c r="I44" s="60">
        <f t="shared" si="4"/>
        <v>362.30000000000007</v>
      </c>
      <c r="J44" s="60">
        <f t="shared" si="4"/>
        <v>362.30000000000007</v>
      </c>
      <c r="K44" s="60">
        <f t="shared" si="4"/>
        <v>362.30000000000007</v>
      </c>
      <c r="L44" s="60">
        <f t="shared" si="4"/>
        <v>362.30000000000007</v>
      </c>
      <c r="M44" s="60">
        <f t="shared" si="4"/>
        <v>362.30000000000007</v>
      </c>
      <c r="N44" s="60">
        <f t="shared" si="4"/>
        <v>362.30000000000007</v>
      </c>
      <c r="O44" s="60">
        <f t="shared" si="4"/>
        <v>362.30000000000007</v>
      </c>
      <c r="P44" s="60">
        <f t="shared" si="4"/>
        <v>362.30000000000007</v>
      </c>
      <c r="Q44" s="60">
        <f t="shared" si="4"/>
        <v>362.30000000000007</v>
      </c>
      <c r="R44" s="60">
        <f t="shared" si="4"/>
        <v>362.30000000000007</v>
      </c>
      <c r="S44" s="60">
        <f t="shared" si="4"/>
        <v>362.30000000000007</v>
      </c>
      <c r="T44" s="60">
        <f t="shared" si="4"/>
        <v>362.30000000000007</v>
      </c>
      <c r="U44" s="60">
        <f t="shared" si="4"/>
        <v>362.30000000000007</v>
      </c>
      <c r="V44" s="60">
        <f t="shared" si="4"/>
        <v>361.40000000000003</v>
      </c>
      <c r="W44" s="60">
        <f t="shared" si="4"/>
        <v>361.40000000000003</v>
      </c>
      <c r="X44" s="60">
        <f t="shared" si="4"/>
        <v>361.40000000000003</v>
      </c>
      <c r="Y44" s="60">
        <v>359.20000000000005</v>
      </c>
      <c r="Z44" s="60">
        <f t="shared" si="4"/>
        <v>359.20000000000005</v>
      </c>
      <c r="AA44" s="60">
        <f t="shared" si="4"/>
        <v>359.20000000000005</v>
      </c>
      <c r="AB44" s="60">
        <f t="shared" si="4"/>
        <v>359.20000000000005</v>
      </c>
      <c r="AC44" s="60">
        <f t="shared" si="4"/>
        <v>359.20000000000005</v>
      </c>
      <c r="AD44" s="60">
        <f t="shared" si="4"/>
        <v>359.20000000000005</v>
      </c>
      <c r="AE44" s="60">
        <f t="shared" si="4"/>
        <v>359.20000000000005</v>
      </c>
      <c r="AF44" s="60">
        <f t="shared" si="4"/>
        <v>359.20000000000005</v>
      </c>
      <c r="AG44" s="61">
        <f t="shared" si="4"/>
        <v>814.78000000000009</v>
      </c>
      <c r="AH44" s="47">
        <f t="shared" si="2"/>
        <v>362.70000000000005</v>
      </c>
      <c r="AI44" s="48">
        <f t="shared" si="3"/>
        <v>359.20000000000005</v>
      </c>
      <c r="AK44" s="49"/>
    </row>
    <row r="45" spans="1:88" x14ac:dyDescent="0.25">
      <c r="A45" s="62" t="s">
        <v>53</v>
      </c>
      <c r="B45" s="45">
        <v>20</v>
      </c>
      <c r="C45" s="45">
        <v>30</v>
      </c>
      <c r="D45" s="45">
        <v>0</v>
      </c>
      <c r="E45" s="45">
        <v>0</v>
      </c>
      <c r="F45" s="45">
        <v>0</v>
      </c>
      <c r="G45" s="45">
        <v>15</v>
      </c>
      <c r="H45" s="45">
        <v>15</v>
      </c>
      <c r="I45" s="45">
        <v>35</v>
      </c>
      <c r="J45" s="45">
        <v>225</v>
      </c>
      <c r="K45" s="45">
        <v>295</v>
      </c>
      <c r="L45" s="45">
        <v>355</v>
      </c>
      <c r="M45" s="63">
        <v>355</v>
      </c>
      <c r="N45" s="63">
        <v>200</v>
      </c>
      <c r="O45" s="45">
        <v>250</v>
      </c>
      <c r="P45" s="45">
        <v>15</v>
      </c>
      <c r="Q45" s="45">
        <v>40</v>
      </c>
      <c r="R45" s="45">
        <v>75</v>
      </c>
      <c r="S45" s="45">
        <v>80</v>
      </c>
      <c r="T45" s="45">
        <v>76</v>
      </c>
      <c r="U45" s="45">
        <v>76</v>
      </c>
      <c r="V45" s="45">
        <v>0</v>
      </c>
      <c r="W45" s="45">
        <v>0</v>
      </c>
      <c r="X45" s="45">
        <v>110</v>
      </c>
      <c r="Y45" s="45">
        <v>280</v>
      </c>
      <c r="Z45" s="45">
        <v>335</v>
      </c>
      <c r="AA45" s="45">
        <v>280</v>
      </c>
      <c r="AB45" s="45">
        <v>100</v>
      </c>
      <c r="AC45" s="45">
        <v>30</v>
      </c>
      <c r="AD45" s="45">
        <v>60</v>
      </c>
      <c r="AE45" s="45">
        <v>50</v>
      </c>
      <c r="AF45" s="45">
        <v>0</v>
      </c>
      <c r="AG45" s="51">
        <v>456</v>
      </c>
      <c r="AH45" s="47">
        <f t="shared" si="2"/>
        <v>355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15.1</v>
      </c>
      <c r="C47" s="67">
        <v>15.1</v>
      </c>
      <c r="D47" s="67">
        <v>15.1</v>
      </c>
      <c r="E47" s="67">
        <v>9.8000000000000007</v>
      </c>
      <c r="F47" s="67">
        <v>9.6999999999999993</v>
      </c>
      <c r="G47" s="67">
        <v>9.8000000000000007</v>
      </c>
      <c r="H47" s="67">
        <v>9.6999999999999993</v>
      </c>
      <c r="I47" s="67">
        <v>9.8000000000000007</v>
      </c>
      <c r="J47" s="67">
        <v>9.8000000000000007</v>
      </c>
      <c r="K47" s="67">
        <v>9.8000000000000007</v>
      </c>
      <c r="L47" s="67">
        <v>9.8000000000000007</v>
      </c>
      <c r="M47" s="67">
        <v>10.6</v>
      </c>
      <c r="N47" s="67">
        <v>10.6</v>
      </c>
      <c r="O47" s="67">
        <v>10.5</v>
      </c>
      <c r="P47" s="67">
        <v>10.5</v>
      </c>
      <c r="Q47" s="67">
        <v>10.6</v>
      </c>
      <c r="R47" s="67">
        <v>10.5</v>
      </c>
      <c r="S47" s="67">
        <v>10.5</v>
      </c>
      <c r="T47" s="67">
        <v>10.5</v>
      </c>
      <c r="U47" s="67">
        <v>10.5</v>
      </c>
      <c r="V47" s="67">
        <v>10.5</v>
      </c>
      <c r="W47" s="67">
        <v>10.5</v>
      </c>
      <c r="X47" s="67">
        <v>10.5</v>
      </c>
      <c r="Y47" s="67">
        <v>10.5</v>
      </c>
      <c r="Z47" s="67">
        <v>10.5</v>
      </c>
      <c r="AA47" s="67">
        <v>10.5</v>
      </c>
      <c r="AB47" s="67">
        <v>10.5</v>
      </c>
      <c r="AC47" s="67">
        <v>10.5</v>
      </c>
      <c r="AD47" s="67">
        <v>10.5</v>
      </c>
      <c r="AE47" s="67">
        <v>10.5</v>
      </c>
      <c r="AF47" s="67">
        <v>10.5</v>
      </c>
      <c r="AG47" s="68">
        <v>22.1</v>
      </c>
      <c r="AH47" s="47">
        <f t="shared" si="2"/>
        <v>15.1</v>
      </c>
      <c r="AI47" s="48">
        <f t="shared" si="3"/>
        <v>9.6999999999999993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63.1</v>
      </c>
      <c r="C48" s="60">
        <f t="shared" si="5"/>
        <v>73.099999999999994</v>
      </c>
      <c r="D48" s="60">
        <f t="shared" si="5"/>
        <v>43.1</v>
      </c>
      <c r="E48" s="60">
        <f t="shared" si="5"/>
        <v>37.799999999999997</v>
      </c>
      <c r="F48" s="60">
        <f t="shared" si="5"/>
        <v>37.700000000000003</v>
      </c>
      <c r="G48" s="60">
        <f t="shared" si="5"/>
        <v>52.8</v>
      </c>
      <c r="H48" s="60">
        <f t="shared" si="5"/>
        <v>52.7</v>
      </c>
      <c r="I48" s="60">
        <f t="shared" si="5"/>
        <v>72.8</v>
      </c>
      <c r="J48" s="60">
        <f t="shared" si="5"/>
        <v>262.8</v>
      </c>
      <c r="K48" s="60">
        <f t="shared" si="5"/>
        <v>332.8</v>
      </c>
      <c r="L48" s="60">
        <f t="shared" si="5"/>
        <v>392.8</v>
      </c>
      <c r="M48" s="60">
        <f t="shared" si="5"/>
        <v>393.6</v>
      </c>
      <c r="N48" s="60">
        <f t="shared" si="5"/>
        <v>238.6</v>
      </c>
      <c r="O48" s="60">
        <f t="shared" si="5"/>
        <v>288.5</v>
      </c>
      <c r="P48" s="60">
        <f t="shared" si="5"/>
        <v>53.5</v>
      </c>
      <c r="Q48" s="60">
        <f t="shared" si="5"/>
        <v>78.599999999999994</v>
      </c>
      <c r="R48" s="60">
        <f t="shared" si="5"/>
        <v>113.5</v>
      </c>
      <c r="S48" s="60">
        <f t="shared" si="5"/>
        <v>118.5</v>
      </c>
      <c r="T48" s="60">
        <f t="shared" si="5"/>
        <v>114.5</v>
      </c>
      <c r="U48" s="60">
        <f t="shared" si="5"/>
        <v>114.5</v>
      </c>
      <c r="V48" s="60">
        <f t="shared" si="5"/>
        <v>38.5</v>
      </c>
      <c r="W48" s="60">
        <f t="shared" si="5"/>
        <v>38.5</v>
      </c>
      <c r="X48" s="60">
        <f t="shared" si="5"/>
        <v>148.5</v>
      </c>
      <c r="Y48" s="60">
        <v>318.5</v>
      </c>
      <c r="Z48" s="60">
        <f t="shared" si="5"/>
        <v>373.5</v>
      </c>
      <c r="AA48" s="60">
        <f t="shared" si="5"/>
        <v>318.5</v>
      </c>
      <c r="AB48" s="60">
        <f t="shared" si="5"/>
        <v>138.5</v>
      </c>
      <c r="AC48" s="60">
        <f t="shared" si="5"/>
        <v>68.5</v>
      </c>
      <c r="AD48" s="60">
        <f t="shared" si="5"/>
        <v>98.5</v>
      </c>
      <c r="AE48" s="60">
        <f t="shared" si="5"/>
        <v>88.5</v>
      </c>
      <c r="AF48" s="60">
        <f t="shared" si="5"/>
        <v>38.5</v>
      </c>
      <c r="AG48" s="61">
        <f t="shared" si="5"/>
        <v>538.1</v>
      </c>
      <c r="AH48" s="47">
        <f t="shared" si="2"/>
        <v>393.6</v>
      </c>
      <c r="AI48" s="48">
        <f t="shared" si="3"/>
        <v>37.700000000000003</v>
      </c>
      <c r="AK48" s="49"/>
    </row>
    <row r="49" spans="1:41" x14ac:dyDescent="0.25">
      <c r="A49" s="44" t="s">
        <v>57</v>
      </c>
      <c r="B49" s="45">
        <v>36</v>
      </c>
      <c r="C49" s="45">
        <v>36</v>
      </c>
      <c r="D49" s="45">
        <v>30</v>
      </c>
      <c r="E49" s="45">
        <v>0</v>
      </c>
      <c r="F49" s="45">
        <v>0</v>
      </c>
      <c r="G49" s="45">
        <v>0</v>
      </c>
      <c r="H49" s="45">
        <v>27.3</v>
      </c>
      <c r="I49" s="45">
        <v>28.3</v>
      </c>
      <c r="J49" s="45">
        <v>70.400000000000006</v>
      </c>
      <c r="K49" s="45">
        <v>99.2</v>
      </c>
      <c r="L49" s="45">
        <v>99</v>
      </c>
      <c r="M49" s="45">
        <v>81</v>
      </c>
      <c r="N49" s="45">
        <v>61.2</v>
      </c>
      <c r="O49" s="45">
        <v>61.3</v>
      </c>
      <c r="P49" s="45">
        <v>71.5</v>
      </c>
      <c r="Q49" s="45">
        <v>71.099999999999994</v>
      </c>
      <c r="R49" s="45">
        <v>71.2</v>
      </c>
      <c r="S49" s="45">
        <v>71.400000000000006</v>
      </c>
      <c r="T49" s="45">
        <v>80</v>
      </c>
      <c r="U49" s="45">
        <v>72</v>
      </c>
      <c r="V49" s="45">
        <v>72</v>
      </c>
      <c r="W49" s="45">
        <v>72</v>
      </c>
      <c r="X49" s="45">
        <v>115</v>
      </c>
      <c r="Y49" s="45">
        <v>140</v>
      </c>
      <c r="Z49" s="45">
        <v>120</v>
      </c>
      <c r="AA49" s="45">
        <v>111.7</v>
      </c>
      <c r="AB49" s="45">
        <v>92</v>
      </c>
      <c r="AC49" s="45">
        <v>61</v>
      </c>
      <c r="AD49" s="45">
        <v>61</v>
      </c>
      <c r="AE49" s="45">
        <v>49</v>
      </c>
      <c r="AF49" s="45">
        <v>40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19.8</v>
      </c>
      <c r="G50" s="65">
        <v>19.8</v>
      </c>
      <c r="H50" s="65">
        <v>19.8</v>
      </c>
      <c r="I50" s="65">
        <v>19.8</v>
      </c>
      <c r="J50" s="65">
        <v>34.5</v>
      </c>
      <c r="K50" s="65">
        <v>47.5</v>
      </c>
      <c r="L50" s="65">
        <v>59.7</v>
      </c>
      <c r="M50" s="65">
        <v>48.4</v>
      </c>
      <c r="N50" s="65">
        <v>24.3</v>
      </c>
      <c r="O50" s="65">
        <v>24.3</v>
      </c>
      <c r="P50" s="65">
        <v>53.7</v>
      </c>
      <c r="Q50" s="65">
        <v>55.7</v>
      </c>
      <c r="R50" s="45">
        <v>55.8</v>
      </c>
      <c r="S50" s="45">
        <v>40.799999999999997</v>
      </c>
      <c r="T50" s="45">
        <v>40.799999999999997</v>
      </c>
      <c r="U50" s="45">
        <v>40.799999999999997</v>
      </c>
      <c r="V50" s="45">
        <v>0</v>
      </c>
      <c r="W50" s="45">
        <v>0</v>
      </c>
      <c r="X50" s="45">
        <v>0</v>
      </c>
      <c r="Y50" s="45">
        <v>64</v>
      </c>
      <c r="Z50" s="45">
        <v>61</v>
      </c>
      <c r="AA50" s="45">
        <v>50.1</v>
      </c>
      <c r="AB50" s="45">
        <v>45</v>
      </c>
      <c r="AC50" s="65">
        <v>25</v>
      </c>
      <c r="AD50" s="65">
        <v>25</v>
      </c>
      <c r="AE50" s="65">
        <v>25</v>
      </c>
      <c r="AF50" s="65">
        <v>0</v>
      </c>
      <c r="AG50" s="54">
        <v>70</v>
      </c>
      <c r="AH50" s="47">
        <f t="shared" si="2"/>
        <v>64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20</v>
      </c>
      <c r="C51" s="65">
        <v>23</v>
      </c>
      <c r="D51" s="65">
        <v>15.6</v>
      </c>
      <c r="E51" s="65">
        <v>15.3</v>
      </c>
      <c r="F51" s="65">
        <v>15.6</v>
      </c>
      <c r="G51" s="65">
        <v>15.8</v>
      </c>
      <c r="H51" s="65">
        <v>34.5</v>
      </c>
      <c r="I51" s="65">
        <v>34.5</v>
      </c>
      <c r="J51" s="65">
        <v>42.5</v>
      </c>
      <c r="K51" s="65">
        <v>49.2</v>
      </c>
      <c r="L51" s="65">
        <v>49.1</v>
      </c>
      <c r="M51" s="65">
        <v>46.2</v>
      </c>
      <c r="N51" s="65">
        <v>36.200000000000003</v>
      </c>
      <c r="O51" s="65">
        <v>35.700000000000003</v>
      </c>
      <c r="P51" s="65">
        <v>46.1</v>
      </c>
      <c r="Q51" s="65">
        <v>33.200000000000003</v>
      </c>
      <c r="R51" s="45">
        <v>33</v>
      </c>
      <c r="S51" s="45">
        <v>33.5</v>
      </c>
      <c r="T51" s="45">
        <v>33.5</v>
      </c>
      <c r="U51" s="45">
        <v>33.5</v>
      </c>
      <c r="V51" s="45">
        <v>32</v>
      </c>
      <c r="W51" s="45">
        <v>15.7</v>
      </c>
      <c r="X51" s="45">
        <v>23.8</v>
      </c>
      <c r="Y51" s="45">
        <v>67.3</v>
      </c>
      <c r="Z51" s="45">
        <v>60</v>
      </c>
      <c r="AA51" s="45">
        <v>50.2</v>
      </c>
      <c r="AB51" s="45">
        <v>50.2</v>
      </c>
      <c r="AC51" s="65">
        <v>32</v>
      </c>
      <c r="AD51" s="65">
        <v>35</v>
      </c>
      <c r="AE51" s="65">
        <v>35</v>
      </c>
      <c r="AF51" s="65">
        <v>0</v>
      </c>
      <c r="AG51" s="54">
        <v>69</v>
      </c>
      <c r="AH51" s="47">
        <f t="shared" si="2"/>
        <v>67.3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40.6</v>
      </c>
      <c r="C52" s="56">
        <v>40.6</v>
      </c>
      <c r="D52" s="56">
        <v>40.6</v>
      </c>
      <c r="E52" s="56">
        <v>42.3</v>
      </c>
      <c r="F52" s="56">
        <v>42.3</v>
      </c>
      <c r="G52" s="56">
        <v>42.3</v>
      </c>
      <c r="H52" s="56">
        <v>40.299999999999997</v>
      </c>
      <c r="I52" s="56">
        <v>40</v>
      </c>
      <c r="J52" s="56">
        <v>40.299999999999997</v>
      </c>
      <c r="K52" s="56">
        <v>40.299999999999997</v>
      </c>
      <c r="L52" s="56">
        <v>44.4</v>
      </c>
      <c r="M52" s="56">
        <v>44.4</v>
      </c>
      <c r="N52" s="56">
        <v>44.4</v>
      </c>
      <c r="O52" s="56">
        <v>44.4</v>
      </c>
      <c r="P52" s="56">
        <v>44.4</v>
      </c>
      <c r="Q52" s="65">
        <v>44.4</v>
      </c>
      <c r="R52" s="65">
        <v>44.4</v>
      </c>
      <c r="S52" s="45">
        <v>42.3</v>
      </c>
      <c r="T52" s="45">
        <v>42.3</v>
      </c>
      <c r="U52" s="45">
        <v>42.3</v>
      </c>
      <c r="V52" s="45">
        <v>42.3</v>
      </c>
      <c r="W52" s="45">
        <v>40.299999999999997</v>
      </c>
      <c r="X52" s="45">
        <v>40.299999999999997</v>
      </c>
      <c r="Y52" s="65">
        <v>40.299999999999997</v>
      </c>
      <c r="Z52" s="65">
        <v>40.299999999999997</v>
      </c>
      <c r="AA52" s="65">
        <v>40.299999999999997</v>
      </c>
      <c r="AB52" s="65">
        <v>40.299999999999997</v>
      </c>
      <c r="AC52" s="65">
        <v>40.299999999999997</v>
      </c>
      <c r="AD52" s="65">
        <v>42</v>
      </c>
      <c r="AE52" s="65">
        <v>42</v>
      </c>
      <c r="AF52" s="65">
        <v>42</v>
      </c>
      <c r="AG52" s="54">
        <v>60</v>
      </c>
      <c r="AH52" s="47">
        <f t="shared" si="2"/>
        <v>44.4</v>
      </c>
      <c r="AI52" s="48">
        <f t="shared" si="3"/>
        <v>40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13</v>
      </c>
      <c r="G53" s="56">
        <v>13</v>
      </c>
      <c r="H53" s="56">
        <v>25</v>
      </c>
      <c r="I53" s="56">
        <v>25</v>
      </c>
      <c r="J53" s="56">
        <v>25</v>
      </c>
      <c r="K53" s="56">
        <v>25</v>
      </c>
      <c r="L53" s="56">
        <v>15</v>
      </c>
      <c r="M53" s="56">
        <v>15</v>
      </c>
      <c r="N53" s="56">
        <v>15</v>
      </c>
      <c r="O53" s="56">
        <v>15</v>
      </c>
      <c r="P53" s="56">
        <v>15</v>
      </c>
      <c r="Q53" s="65">
        <v>13</v>
      </c>
      <c r="R53" s="6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65">
        <v>26</v>
      </c>
      <c r="Z53" s="65">
        <v>26</v>
      </c>
      <c r="AA53" s="65">
        <v>26</v>
      </c>
      <c r="AB53" s="65">
        <v>15</v>
      </c>
      <c r="AC53" s="65">
        <v>15</v>
      </c>
      <c r="AD53" s="65">
        <v>15</v>
      </c>
      <c r="AE53" s="65">
        <v>15</v>
      </c>
      <c r="AF53" s="65">
        <v>0</v>
      </c>
      <c r="AG53" s="54">
        <v>30</v>
      </c>
      <c r="AH53" s="47">
        <f t="shared" si="2"/>
        <v>26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2</v>
      </c>
      <c r="N54" s="45">
        <v>4</v>
      </c>
      <c r="O54" s="45">
        <v>4</v>
      </c>
      <c r="P54" s="45">
        <v>4</v>
      </c>
      <c r="Q54" s="65">
        <v>5</v>
      </c>
      <c r="R54" s="65">
        <v>5</v>
      </c>
      <c r="S54" s="65">
        <v>5</v>
      </c>
      <c r="T54" s="65">
        <v>5</v>
      </c>
      <c r="U54" s="65">
        <v>5</v>
      </c>
      <c r="V54" s="65">
        <v>5</v>
      </c>
      <c r="W54" s="65">
        <v>5</v>
      </c>
      <c r="X54" s="65">
        <v>5</v>
      </c>
      <c r="Y54" s="65">
        <v>5</v>
      </c>
      <c r="Z54" s="65">
        <v>5</v>
      </c>
      <c r="AA54" s="65">
        <v>5</v>
      </c>
      <c r="AB54" s="65">
        <v>5</v>
      </c>
      <c r="AC54" s="65">
        <v>5</v>
      </c>
      <c r="AD54" s="65">
        <v>5</v>
      </c>
      <c r="AE54" s="65">
        <v>5</v>
      </c>
      <c r="AF54" s="65">
        <v>5</v>
      </c>
      <c r="AG54" s="54">
        <v>25</v>
      </c>
      <c r="AH54" s="47">
        <f t="shared" si="2"/>
        <v>5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13.8</v>
      </c>
      <c r="C55" s="65">
        <v>13.8</v>
      </c>
      <c r="D55" s="65">
        <v>13.8</v>
      </c>
      <c r="E55" s="65">
        <v>13.8</v>
      </c>
      <c r="F55" s="65">
        <v>13.8</v>
      </c>
      <c r="G55" s="65">
        <v>13.8</v>
      </c>
      <c r="H55" s="65">
        <v>13.8</v>
      </c>
      <c r="I55" s="65">
        <v>13.8</v>
      </c>
      <c r="J55" s="65">
        <v>13.8</v>
      </c>
      <c r="K55" s="65">
        <v>13.8</v>
      </c>
      <c r="L55" s="65">
        <v>13.8</v>
      </c>
      <c r="M55" s="65">
        <v>13.8</v>
      </c>
      <c r="N55" s="65">
        <v>13.8</v>
      </c>
      <c r="O55" s="65">
        <v>13.8</v>
      </c>
      <c r="P55" s="65">
        <v>13.8</v>
      </c>
      <c r="Q55" s="65">
        <v>12.9</v>
      </c>
      <c r="R55" s="65">
        <v>12.9</v>
      </c>
      <c r="S55" s="65">
        <v>12.9</v>
      </c>
      <c r="T55" s="65">
        <v>12.9</v>
      </c>
      <c r="U55" s="65">
        <v>12.9</v>
      </c>
      <c r="V55" s="65">
        <v>12.9</v>
      </c>
      <c r="W55" s="65">
        <v>12.9</v>
      </c>
      <c r="X55" s="65">
        <v>12.9</v>
      </c>
      <c r="Y55" s="65">
        <v>12.9</v>
      </c>
      <c r="Z55" s="65">
        <v>12.9</v>
      </c>
      <c r="AA55" s="65">
        <v>12.9</v>
      </c>
      <c r="AB55" s="65">
        <v>12.9</v>
      </c>
      <c r="AC55" s="65">
        <v>12.9</v>
      </c>
      <c r="AD55" s="65">
        <v>12.9</v>
      </c>
      <c r="AE55" s="65">
        <v>12.9</v>
      </c>
      <c r="AF55" s="65">
        <v>12.9</v>
      </c>
      <c r="AG55" s="54">
        <v>24</v>
      </c>
      <c r="AH55" s="47">
        <f t="shared" si="2"/>
        <v>13.8</v>
      </c>
      <c r="AI55" s="48">
        <f t="shared" si="3"/>
        <v>12.9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</v>
      </c>
      <c r="C57" s="65">
        <v>10</v>
      </c>
      <c r="D57" s="65">
        <v>10</v>
      </c>
      <c r="E57" s="65">
        <v>10</v>
      </c>
      <c r="F57" s="65">
        <v>10</v>
      </c>
      <c r="G57" s="65">
        <v>10</v>
      </c>
      <c r="H57" s="65">
        <v>10</v>
      </c>
      <c r="I57" s="65">
        <v>10</v>
      </c>
      <c r="J57" s="65">
        <v>10</v>
      </c>
      <c r="K57" s="65">
        <v>10</v>
      </c>
      <c r="L57" s="65">
        <v>10</v>
      </c>
      <c r="M57" s="65">
        <v>10</v>
      </c>
      <c r="N57" s="65">
        <v>10</v>
      </c>
      <c r="O57" s="65">
        <v>10</v>
      </c>
      <c r="P57" s="65">
        <v>10</v>
      </c>
      <c r="Q57" s="65">
        <v>9.8000000000000007</v>
      </c>
      <c r="R57" s="65">
        <v>9.8000000000000007</v>
      </c>
      <c r="S57" s="65">
        <v>9.8000000000000007</v>
      </c>
      <c r="T57" s="65">
        <v>9.8000000000000007</v>
      </c>
      <c r="U57" s="65">
        <v>9.8000000000000007</v>
      </c>
      <c r="V57" s="65">
        <v>9.8000000000000007</v>
      </c>
      <c r="W57" s="65">
        <v>9.8000000000000007</v>
      </c>
      <c r="X57" s="65">
        <v>9.8000000000000007</v>
      </c>
      <c r="Y57" s="65">
        <v>9.8000000000000007</v>
      </c>
      <c r="Z57" s="65">
        <v>9.8000000000000007</v>
      </c>
      <c r="AA57" s="65">
        <v>9.8000000000000007</v>
      </c>
      <c r="AB57" s="65">
        <v>9.8000000000000007</v>
      </c>
      <c r="AC57" s="65">
        <v>9.8000000000000007</v>
      </c>
      <c r="AD57" s="65">
        <v>9.8000000000000007</v>
      </c>
      <c r="AE57" s="65">
        <v>9.8000000000000007</v>
      </c>
      <c r="AF57" s="65">
        <v>9.8000000000000007</v>
      </c>
      <c r="AG57" s="54">
        <v>14.1</v>
      </c>
      <c r="AH57" s="47">
        <f t="shared" si="2"/>
        <v>10</v>
      </c>
      <c r="AI57" s="48">
        <f t="shared" si="3"/>
        <v>9.8000000000000007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139.53999999999996</v>
      </c>
      <c r="C62" s="60">
        <f t="shared" si="6"/>
        <v>142.53999999999996</v>
      </c>
      <c r="D62" s="60">
        <f t="shared" si="6"/>
        <v>129.14000000000001</v>
      </c>
      <c r="E62" s="60">
        <f t="shared" si="6"/>
        <v>100.54</v>
      </c>
      <c r="F62" s="60">
        <f t="shared" si="6"/>
        <v>133.63999999999999</v>
      </c>
      <c r="G62" s="60">
        <f t="shared" si="6"/>
        <v>133.84</v>
      </c>
      <c r="H62" s="60">
        <f t="shared" si="6"/>
        <v>189.83999999999995</v>
      </c>
      <c r="I62" s="60">
        <f t="shared" si="6"/>
        <v>190.53999999999996</v>
      </c>
      <c r="J62" s="60">
        <f t="shared" si="6"/>
        <v>255.63999999999996</v>
      </c>
      <c r="K62" s="60">
        <f t="shared" si="6"/>
        <v>304.14</v>
      </c>
      <c r="L62" s="60">
        <f t="shared" si="6"/>
        <v>310.14</v>
      </c>
      <c r="M62" s="60">
        <f t="shared" si="6"/>
        <v>279.94</v>
      </c>
      <c r="N62" s="60">
        <f t="shared" si="6"/>
        <v>228.03999999999996</v>
      </c>
      <c r="O62" s="60">
        <f t="shared" si="6"/>
        <v>227.63999999999996</v>
      </c>
      <c r="P62" s="60">
        <f t="shared" si="6"/>
        <v>277.64000000000004</v>
      </c>
      <c r="Q62" s="60">
        <f t="shared" si="6"/>
        <v>264.24</v>
      </c>
      <c r="R62" s="60">
        <f t="shared" si="6"/>
        <v>251.23999999999998</v>
      </c>
      <c r="S62" s="60">
        <f t="shared" si="6"/>
        <v>234.83999999999997</v>
      </c>
      <c r="T62" s="60">
        <f t="shared" si="6"/>
        <v>243.44</v>
      </c>
      <c r="U62" s="60">
        <f t="shared" si="6"/>
        <v>235.44</v>
      </c>
      <c r="V62" s="60">
        <f t="shared" si="6"/>
        <v>193.14</v>
      </c>
      <c r="W62" s="60">
        <f t="shared" si="6"/>
        <v>174.83999999999997</v>
      </c>
      <c r="X62" s="60">
        <f t="shared" si="6"/>
        <v>225.94</v>
      </c>
      <c r="Y62" s="60">
        <v>384.44</v>
      </c>
      <c r="Z62" s="60">
        <f t="shared" si="6"/>
        <v>354.14</v>
      </c>
      <c r="AA62" s="60">
        <f t="shared" si="6"/>
        <v>325.14</v>
      </c>
      <c r="AB62" s="60">
        <f t="shared" si="6"/>
        <v>289.33999999999997</v>
      </c>
      <c r="AC62" s="60">
        <f t="shared" si="6"/>
        <v>220.14</v>
      </c>
      <c r="AD62" s="60">
        <f t="shared" si="6"/>
        <v>224.83999999999997</v>
      </c>
      <c r="AE62" s="60">
        <f t="shared" si="6"/>
        <v>212.83999999999997</v>
      </c>
      <c r="AF62" s="60">
        <f t="shared" si="6"/>
        <v>128.84</v>
      </c>
      <c r="AG62" s="61">
        <f t="shared" si="6"/>
        <v>489.91</v>
      </c>
      <c r="AH62" s="47">
        <f t="shared" si="2"/>
        <v>384.44</v>
      </c>
      <c r="AI62" s="48">
        <f t="shared" si="3"/>
        <v>100.54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10</v>
      </c>
      <c r="J63" s="45">
        <v>30</v>
      </c>
      <c r="K63" s="45">
        <v>10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50</v>
      </c>
      <c r="W63" s="45">
        <v>30</v>
      </c>
      <c r="X63" s="45">
        <v>45</v>
      </c>
      <c r="Y63" s="45">
        <v>55</v>
      </c>
      <c r="Z63" s="45">
        <v>50</v>
      </c>
      <c r="AA63" s="45">
        <v>40</v>
      </c>
      <c r="AB63" s="45">
        <v>30</v>
      </c>
      <c r="AC63" s="45">
        <v>30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55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4.5999999999999996</v>
      </c>
      <c r="J64" s="65">
        <v>15.4</v>
      </c>
      <c r="K64" s="65">
        <v>4.8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0</v>
      </c>
      <c r="R64" s="45">
        <v>0</v>
      </c>
      <c r="S64" s="65">
        <v>0</v>
      </c>
      <c r="T64" s="65">
        <v>0</v>
      </c>
      <c r="U64" s="65">
        <v>0</v>
      </c>
      <c r="V64" s="65">
        <v>25</v>
      </c>
      <c r="W64" s="65">
        <v>13.5</v>
      </c>
      <c r="X64" s="65">
        <v>19</v>
      </c>
      <c r="Y64" s="65">
        <v>23.4</v>
      </c>
      <c r="Z64" s="65">
        <v>23.4</v>
      </c>
      <c r="AA64" s="65">
        <v>23.4</v>
      </c>
      <c r="AB64" s="65">
        <v>13</v>
      </c>
      <c r="AC64" s="65">
        <v>13.7</v>
      </c>
      <c r="AD64" s="65">
        <v>4</v>
      </c>
      <c r="AE64" s="65">
        <v>0</v>
      </c>
      <c r="AF64" s="65">
        <v>0</v>
      </c>
      <c r="AG64" s="54">
        <v>32</v>
      </c>
      <c r="AH64" s="47">
        <f t="shared" si="2"/>
        <v>25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1.7</v>
      </c>
      <c r="J65" s="67">
        <v>5.6</v>
      </c>
      <c r="K65" s="67">
        <v>1.8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0</v>
      </c>
      <c r="R65" s="45">
        <v>0</v>
      </c>
      <c r="S65" s="67">
        <v>0</v>
      </c>
      <c r="T65" s="67">
        <v>0</v>
      </c>
      <c r="U65" s="67">
        <v>0</v>
      </c>
      <c r="V65" s="67">
        <v>10</v>
      </c>
      <c r="W65" s="67">
        <v>4.9000000000000004</v>
      </c>
      <c r="X65" s="67">
        <v>6.9</v>
      </c>
      <c r="Y65" s="67">
        <v>8.5</v>
      </c>
      <c r="Z65" s="67">
        <v>8.5</v>
      </c>
      <c r="AA65" s="67">
        <v>8.5</v>
      </c>
      <c r="AB65" s="67">
        <v>5</v>
      </c>
      <c r="AC65" s="67">
        <v>5</v>
      </c>
      <c r="AD65" s="67">
        <v>2</v>
      </c>
      <c r="AE65" s="67">
        <v>0</v>
      </c>
      <c r="AF65" s="67">
        <v>0</v>
      </c>
      <c r="AG65" s="68">
        <v>14</v>
      </c>
      <c r="AH65" s="47">
        <f t="shared" si="2"/>
        <v>10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85</v>
      </c>
      <c r="W66" s="60">
        <f t="shared" si="7"/>
        <v>48.4</v>
      </c>
      <c r="X66" s="60">
        <f t="shared" si="7"/>
        <v>70.900000000000006</v>
      </c>
      <c r="Y66" s="60">
        <v>86.9</v>
      </c>
      <c r="Z66" s="60">
        <f t="shared" si="7"/>
        <v>81.900000000000006</v>
      </c>
      <c r="AA66" s="60">
        <f t="shared" si="7"/>
        <v>71.900000000000006</v>
      </c>
      <c r="AB66" s="60">
        <f t="shared" si="7"/>
        <v>48</v>
      </c>
      <c r="AC66" s="60">
        <f t="shared" si="7"/>
        <v>48.7</v>
      </c>
      <c r="AD66" s="60">
        <f t="shared" si="7"/>
        <v>6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86.9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51</v>
      </c>
      <c r="C67" s="45">
        <v>49</v>
      </c>
      <c r="D67" s="45">
        <v>55</v>
      </c>
      <c r="E67" s="45">
        <v>64.2</v>
      </c>
      <c r="F67" s="45">
        <v>57.9</v>
      </c>
      <c r="G67" s="45">
        <v>57.6</v>
      </c>
      <c r="H67" s="45">
        <v>62.3</v>
      </c>
      <c r="I67" s="45">
        <v>62.3</v>
      </c>
      <c r="J67" s="45">
        <v>55.6</v>
      </c>
      <c r="K67" s="45">
        <v>46.6</v>
      </c>
      <c r="L67" s="45">
        <v>30.6</v>
      </c>
      <c r="M67" s="45">
        <v>29.7</v>
      </c>
      <c r="N67" s="45">
        <v>27.2</v>
      </c>
      <c r="O67" s="45">
        <v>20.7</v>
      </c>
      <c r="P67" s="45">
        <v>0</v>
      </c>
      <c r="Q67" s="45">
        <v>9.6</v>
      </c>
      <c r="R67" s="45">
        <v>9.5</v>
      </c>
      <c r="S67" s="45">
        <v>14.8</v>
      </c>
      <c r="T67" s="45">
        <v>14.8</v>
      </c>
      <c r="U67" s="45">
        <v>16</v>
      </c>
      <c r="V67" s="45">
        <v>18</v>
      </c>
      <c r="W67" s="45">
        <v>18</v>
      </c>
      <c r="X67" s="45">
        <v>44</v>
      </c>
      <c r="Y67" s="45">
        <v>0</v>
      </c>
      <c r="Z67" s="45">
        <v>10</v>
      </c>
      <c r="AA67" s="45">
        <v>11.5</v>
      </c>
      <c r="AB67" s="45">
        <v>20</v>
      </c>
      <c r="AC67" s="45">
        <v>20</v>
      </c>
      <c r="AD67" s="45">
        <v>0</v>
      </c>
      <c r="AE67" s="45">
        <v>0</v>
      </c>
      <c r="AF67" s="45">
        <v>0</v>
      </c>
      <c r="AG67" s="51"/>
      <c r="AH67" s="47">
        <f t="shared" si="2"/>
        <v>64.2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335</v>
      </c>
      <c r="C69" s="65">
        <v>325</v>
      </c>
      <c r="D69" s="65">
        <v>321</v>
      </c>
      <c r="E69" s="65">
        <v>340.1</v>
      </c>
      <c r="F69" s="65">
        <v>350</v>
      </c>
      <c r="G69" s="65">
        <v>327</v>
      </c>
      <c r="H69" s="65">
        <v>352</v>
      </c>
      <c r="I69" s="65">
        <v>348</v>
      </c>
      <c r="J69" s="65">
        <v>182</v>
      </c>
      <c r="K69" s="65">
        <v>103</v>
      </c>
      <c r="L69" s="65">
        <v>65.8</v>
      </c>
      <c r="M69" s="65">
        <v>91</v>
      </c>
      <c r="N69" s="65">
        <v>214.6</v>
      </c>
      <c r="O69" s="65">
        <v>100</v>
      </c>
      <c r="P69" s="65">
        <v>320.2</v>
      </c>
      <c r="Q69" s="65">
        <v>355.2</v>
      </c>
      <c r="R69" s="65">
        <v>332.3</v>
      </c>
      <c r="S69" s="65">
        <v>363.4</v>
      </c>
      <c r="T69" s="65">
        <v>363.4</v>
      </c>
      <c r="U69" s="65">
        <v>366</v>
      </c>
      <c r="V69" s="65">
        <v>330</v>
      </c>
      <c r="W69" s="65">
        <v>350</v>
      </c>
      <c r="X69" s="65">
        <v>258</v>
      </c>
      <c r="Y69" s="65">
        <v>125</v>
      </c>
      <c r="Z69" s="65">
        <v>20</v>
      </c>
      <c r="AA69" s="65">
        <v>30</v>
      </c>
      <c r="AB69" s="65">
        <v>76</v>
      </c>
      <c r="AC69" s="65">
        <v>317</v>
      </c>
      <c r="AD69" s="65">
        <v>324</v>
      </c>
      <c r="AE69" s="65">
        <v>343</v>
      </c>
      <c r="AF69" s="65">
        <v>350</v>
      </c>
      <c r="AG69" s="75"/>
      <c r="AH69" s="47">
        <f t="shared" si="2"/>
        <v>366</v>
      </c>
      <c r="AI69" s="48">
        <f t="shared" si="3"/>
        <v>20</v>
      </c>
      <c r="AK69" s="49"/>
    </row>
    <row r="70" spans="1:40" x14ac:dyDescent="0.25">
      <c r="A70" s="53" t="s">
        <v>78</v>
      </c>
      <c r="B70" s="76">
        <v>53</v>
      </c>
      <c r="C70" s="76">
        <v>57</v>
      </c>
      <c r="D70" s="76">
        <v>54</v>
      </c>
      <c r="E70" s="76">
        <v>62.2</v>
      </c>
      <c r="F70" s="76">
        <v>58.8</v>
      </c>
      <c r="G70" s="76">
        <v>65</v>
      </c>
      <c r="H70" s="76">
        <v>67.8</v>
      </c>
      <c r="I70" s="76">
        <v>64</v>
      </c>
      <c r="J70" s="76">
        <v>55.4</v>
      </c>
      <c r="K70" s="76">
        <v>61.9</v>
      </c>
      <c r="L70" s="76">
        <v>55</v>
      </c>
      <c r="M70" s="76">
        <v>58.8</v>
      </c>
      <c r="N70" s="76">
        <v>59.4</v>
      </c>
      <c r="O70" s="76">
        <v>60.5</v>
      </c>
      <c r="P70" s="76">
        <v>61.4</v>
      </c>
      <c r="Q70" s="76">
        <v>65.099999999999994</v>
      </c>
      <c r="R70" s="76">
        <v>62.5</v>
      </c>
      <c r="S70" s="76">
        <v>61.6</v>
      </c>
      <c r="T70" s="76">
        <v>61.6</v>
      </c>
      <c r="U70" s="76">
        <v>61.6</v>
      </c>
      <c r="V70" s="76">
        <v>52</v>
      </c>
      <c r="W70" s="76">
        <v>52</v>
      </c>
      <c r="X70" s="76">
        <v>60.4</v>
      </c>
      <c r="Y70" s="65">
        <v>65.8</v>
      </c>
      <c r="Z70" s="65">
        <v>65.8</v>
      </c>
      <c r="AA70" s="65">
        <v>65.8</v>
      </c>
      <c r="AB70" s="65">
        <v>65.8</v>
      </c>
      <c r="AC70" s="65">
        <v>62</v>
      </c>
      <c r="AD70" s="65">
        <v>62</v>
      </c>
      <c r="AE70" s="65">
        <v>58</v>
      </c>
      <c r="AF70" s="65">
        <v>53</v>
      </c>
      <c r="AG70" s="75"/>
      <c r="AH70" s="47">
        <f t="shared" si="2"/>
        <v>67.8</v>
      </c>
      <c r="AI70" s="48">
        <f t="shared" si="3"/>
        <v>52</v>
      </c>
      <c r="AK70" s="49"/>
    </row>
    <row r="71" spans="1:40" x14ac:dyDescent="0.25">
      <c r="A71" s="53" t="s">
        <v>79</v>
      </c>
      <c r="B71" s="45">
        <v>24</v>
      </c>
      <c r="C71" s="45">
        <v>24</v>
      </c>
      <c r="D71" s="45">
        <v>24</v>
      </c>
      <c r="E71" s="45">
        <v>24</v>
      </c>
      <c r="F71" s="45">
        <v>24</v>
      </c>
      <c r="G71" s="45">
        <v>24</v>
      </c>
      <c r="H71" s="45">
        <v>24</v>
      </c>
      <c r="I71" s="45">
        <v>24</v>
      </c>
      <c r="J71" s="45">
        <v>24</v>
      </c>
      <c r="K71" s="45">
        <v>24</v>
      </c>
      <c r="L71" s="45">
        <v>72</v>
      </c>
      <c r="M71" s="45">
        <v>75</v>
      </c>
      <c r="N71" s="45">
        <v>75</v>
      </c>
      <c r="O71" s="45">
        <v>75</v>
      </c>
      <c r="P71" s="45">
        <v>65</v>
      </c>
      <c r="Q71" s="45">
        <v>45</v>
      </c>
      <c r="R71" s="45">
        <v>50</v>
      </c>
      <c r="S71" s="45">
        <v>60</v>
      </c>
      <c r="T71" s="45">
        <v>60</v>
      </c>
      <c r="U71" s="45">
        <v>60</v>
      </c>
      <c r="V71" s="45">
        <v>65</v>
      </c>
      <c r="W71" s="45">
        <v>65</v>
      </c>
      <c r="X71" s="45">
        <v>65</v>
      </c>
      <c r="Y71" s="45">
        <v>65</v>
      </c>
      <c r="Z71" s="45">
        <v>65</v>
      </c>
      <c r="AA71" s="45">
        <v>65</v>
      </c>
      <c r="AB71" s="45">
        <v>65</v>
      </c>
      <c r="AC71" s="45">
        <v>65</v>
      </c>
      <c r="AD71" s="45">
        <v>50</v>
      </c>
      <c r="AE71" s="45">
        <v>45</v>
      </c>
      <c r="AF71" s="45">
        <v>45</v>
      </c>
      <c r="AG71" s="75"/>
      <c r="AH71" s="47">
        <f t="shared" si="2"/>
        <v>75</v>
      </c>
      <c r="AI71" s="48">
        <f t="shared" si="3"/>
        <v>24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468</v>
      </c>
      <c r="C78" s="60">
        <f t="shared" si="10"/>
        <v>460</v>
      </c>
      <c r="D78" s="60">
        <f t="shared" si="10"/>
        <v>459</v>
      </c>
      <c r="E78" s="60">
        <f t="shared" si="10"/>
        <v>495.5</v>
      </c>
      <c r="F78" s="60">
        <f t="shared" si="10"/>
        <v>495.7</v>
      </c>
      <c r="G78" s="60">
        <f t="shared" si="10"/>
        <v>478.6</v>
      </c>
      <c r="H78" s="60">
        <f t="shared" si="10"/>
        <v>511.1</v>
      </c>
      <c r="I78" s="60">
        <f t="shared" si="10"/>
        <v>503.3</v>
      </c>
      <c r="J78" s="60">
        <f t="shared" si="10"/>
        <v>322</v>
      </c>
      <c r="K78" s="60">
        <f t="shared" si="10"/>
        <v>240.5</v>
      </c>
      <c r="L78" s="60">
        <f t="shared" si="10"/>
        <v>228.4</v>
      </c>
      <c r="M78" s="60">
        <f t="shared" si="10"/>
        <v>259.5</v>
      </c>
      <c r="N78" s="60">
        <f t="shared" si="10"/>
        <v>381.2</v>
      </c>
      <c r="O78" s="60">
        <f t="shared" si="10"/>
        <v>261.2</v>
      </c>
      <c r="P78" s="60">
        <f t="shared" si="10"/>
        <v>451.59999999999997</v>
      </c>
      <c r="Q78" s="60">
        <f t="shared" si="10"/>
        <v>479.9</v>
      </c>
      <c r="R78" s="60">
        <f t="shared" si="10"/>
        <v>459.3</v>
      </c>
      <c r="S78" s="60">
        <f t="shared" si="10"/>
        <v>504.8</v>
      </c>
      <c r="T78" s="60">
        <f t="shared" si="10"/>
        <v>504.8</v>
      </c>
      <c r="U78" s="60">
        <f t="shared" si="10"/>
        <v>508.6</v>
      </c>
      <c r="V78" s="60">
        <f t="shared" si="10"/>
        <v>470</v>
      </c>
      <c r="W78" s="60">
        <f t="shared" si="10"/>
        <v>490</v>
      </c>
      <c r="X78" s="60">
        <f t="shared" si="10"/>
        <v>432.4</v>
      </c>
      <c r="Y78" s="60">
        <v>260.8</v>
      </c>
      <c r="Z78" s="60">
        <f t="shared" si="10"/>
        <v>165.8</v>
      </c>
      <c r="AA78" s="60">
        <f t="shared" si="10"/>
        <v>177.3</v>
      </c>
      <c r="AB78" s="60">
        <f t="shared" si="10"/>
        <v>231.8</v>
      </c>
      <c r="AC78" s="60">
        <f t="shared" si="10"/>
        <v>469</v>
      </c>
      <c r="AD78" s="60">
        <f t="shared" si="10"/>
        <v>441</v>
      </c>
      <c r="AE78" s="60">
        <f t="shared" si="10"/>
        <v>451</v>
      </c>
      <c r="AF78" s="60">
        <f t="shared" si="10"/>
        <v>453</v>
      </c>
      <c r="AG78" s="88">
        <f>SUM(AG67:AG77)</f>
        <v>0</v>
      </c>
      <c r="AH78" s="47">
        <f t="shared" si="8"/>
        <v>511.1</v>
      </c>
      <c r="AI78" s="48">
        <f t="shared" si="9"/>
        <v>165.8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1030.24</v>
      </c>
      <c r="C83" s="95">
        <f t="shared" ref="C83:AG83" si="11">C44+C48+C66+C62+C78+C82</f>
        <v>1035.24</v>
      </c>
      <c r="D83" s="95">
        <f t="shared" si="11"/>
        <v>990.84</v>
      </c>
      <c r="E83" s="95">
        <f t="shared" si="11"/>
        <v>996.54000000000008</v>
      </c>
      <c r="F83" s="95">
        <f t="shared" si="11"/>
        <v>1029.74</v>
      </c>
      <c r="G83" s="95">
        <f t="shared" si="11"/>
        <v>1027.94</v>
      </c>
      <c r="H83" s="95">
        <f t="shared" si="11"/>
        <v>1115.94</v>
      </c>
      <c r="I83" s="95">
        <f t="shared" si="11"/>
        <v>1128.94</v>
      </c>
      <c r="J83" s="95">
        <f t="shared" si="11"/>
        <v>1202.7400000000002</v>
      </c>
      <c r="K83" s="95">
        <f t="shared" si="11"/>
        <v>1239.7400000000002</v>
      </c>
      <c r="L83" s="95">
        <f t="shared" si="11"/>
        <v>1293.6400000000003</v>
      </c>
      <c r="M83" s="95">
        <f t="shared" si="11"/>
        <v>1295.3400000000001</v>
      </c>
      <c r="N83" s="95">
        <f t="shared" si="11"/>
        <v>1210.1400000000001</v>
      </c>
      <c r="O83" s="95">
        <f t="shared" si="11"/>
        <v>1139.6400000000001</v>
      </c>
      <c r="P83" s="95">
        <f t="shared" si="11"/>
        <v>1145.04</v>
      </c>
      <c r="Q83" s="95">
        <f t="shared" si="11"/>
        <v>1185.04</v>
      </c>
      <c r="R83" s="95">
        <f t="shared" si="11"/>
        <v>1186.3400000000001</v>
      </c>
      <c r="S83" s="95">
        <f t="shared" si="11"/>
        <v>1220.44</v>
      </c>
      <c r="T83" s="95">
        <f t="shared" si="11"/>
        <v>1225.04</v>
      </c>
      <c r="U83" s="95">
        <f t="shared" si="11"/>
        <v>1220.8400000000001</v>
      </c>
      <c r="V83" s="95">
        <f t="shared" si="11"/>
        <v>1148.04</v>
      </c>
      <c r="W83" s="95">
        <f t="shared" si="11"/>
        <v>1113.1399999999999</v>
      </c>
      <c r="X83" s="95">
        <f t="shared" si="11"/>
        <v>1239.1399999999999</v>
      </c>
      <c r="Y83" s="95">
        <v>1409.8400000000001</v>
      </c>
      <c r="Z83" s="95">
        <f t="shared" si="11"/>
        <v>1334.54</v>
      </c>
      <c r="AA83" s="95">
        <f t="shared" si="11"/>
        <v>1252.04</v>
      </c>
      <c r="AB83" s="95">
        <f t="shared" si="11"/>
        <v>1066.8399999999999</v>
      </c>
      <c r="AC83" s="95">
        <f t="shared" si="11"/>
        <v>1165.54</v>
      </c>
      <c r="AD83" s="95">
        <f t="shared" si="11"/>
        <v>1129.54</v>
      </c>
      <c r="AE83" s="95">
        <f t="shared" si="11"/>
        <v>1111.54</v>
      </c>
      <c r="AF83" s="95">
        <f t="shared" si="11"/>
        <v>979.54000000000008</v>
      </c>
      <c r="AG83" s="61">
        <f t="shared" si="11"/>
        <v>2004.1900000000003</v>
      </c>
      <c r="AH83" s="47">
        <f>MAX(B83:AF83)</f>
        <v>1409.8400000000001</v>
      </c>
      <c r="AI83" s="48">
        <f>MIN(B83:AF83)</f>
        <v>979.54000000000008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180</v>
      </c>
      <c r="M84" s="97">
        <v>170</v>
      </c>
      <c r="N84" s="97">
        <v>170</v>
      </c>
      <c r="O84" s="97">
        <v>170</v>
      </c>
      <c r="P84" s="97">
        <v>150</v>
      </c>
      <c r="Q84" s="97">
        <v>75</v>
      </c>
      <c r="R84" s="97">
        <v>75</v>
      </c>
      <c r="S84" s="97">
        <v>75</v>
      </c>
      <c r="T84" s="97"/>
      <c r="U84" s="97"/>
      <c r="V84" s="97">
        <v>100</v>
      </c>
      <c r="W84" s="97">
        <v>80</v>
      </c>
      <c r="X84" s="97">
        <v>150</v>
      </c>
      <c r="Y84" s="97">
        <v>130</v>
      </c>
      <c r="Z84" s="97">
        <v>130</v>
      </c>
      <c r="AA84" s="97">
        <v>130</v>
      </c>
      <c r="AB84" s="97">
        <v>130</v>
      </c>
      <c r="AC84" s="97">
        <v>130</v>
      </c>
      <c r="AD84" s="97"/>
      <c r="AE84" s="97"/>
      <c r="AF84" s="97"/>
      <c r="AG84" s="88"/>
      <c r="AH84" s="47">
        <f t="shared" si="8"/>
        <v>180</v>
      </c>
      <c r="AI84" s="48">
        <f t="shared" si="9"/>
        <v>75</v>
      </c>
    </row>
    <row r="85" spans="1:37" ht="15.75" thickBot="1" x14ac:dyDescent="0.3">
      <c r="A85" s="74" t="s">
        <v>96</v>
      </c>
      <c r="B85" s="95">
        <f>B83+B84</f>
        <v>1030.24</v>
      </c>
      <c r="C85" s="95">
        <f t="shared" ref="C85:AF85" si="12">C83+C84</f>
        <v>1035.24</v>
      </c>
      <c r="D85" s="95">
        <f t="shared" si="12"/>
        <v>990.84</v>
      </c>
      <c r="E85" s="95">
        <f t="shared" si="12"/>
        <v>996.54000000000008</v>
      </c>
      <c r="F85" s="95">
        <f t="shared" si="12"/>
        <v>1029.74</v>
      </c>
      <c r="G85" s="95">
        <f t="shared" si="12"/>
        <v>1027.94</v>
      </c>
      <c r="H85" s="95">
        <f t="shared" si="12"/>
        <v>1115.94</v>
      </c>
      <c r="I85" s="95">
        <f t="shared" si="12"/>
        <v>1128.94</v>
      </c>
      <c r="J85" s="95">
        <f t="shared" si="12"/>
        <v>1202.7400000000002</v>
      </c>
      <c r="K85" s="95">
        <f t="shared" si="12"/>
        <v>1339.7400000000002</v>
      </c>
      <c r="L85" s="95">
        <f t="shared" si="12"/>
        <v>1473.6400000000003</v>
      </c>
      <c r="M85" s="95">
        <f t="shared" si="12"/>
        <v>1465.3400000000001</v>
      </c>
      <c r="N85" s="95">
        <f t="shared" si="12"/>
        <v>1380.14</v>
      </c>
      <c r="O85" s="95">
        <f t="shared" si="12"/>
        <v>1309.6400000000001</v>
      </c>
      <c r="P85" s="95">
        <f t="shared" si="12"/>
        <v>1295.04</v>
      </c>
      <c r="Q85" s="95">
        <f t="shared" si="12"/>
        <v>1260.04</v>
      </c>
      <c r="R85" s="95">
        <f t="shared" si="12"/>
        <v>1261.3400000000001</v>
      </c>
      <c r="S85" s="95">
        <f t="shared" si="12"/>
        <v>1295.44</v>
      </c>
      <c r="T85" s="95">
        <f t="shared" si="12"/>
        <v>1225.04</v>
      </c>
      <c r="U85" s="95">
        <f t="shared" si="12"/>
        <v>1220.8400000000001</v>
      </c>
      <c r="V85" s="95">
        <f t="shared" si="12"/>
        <v>1248.04</v>
      </c>
      <c r="W85" s="95">
        <f t="shared" si="12"/>
        <v>1193.1399999999999</v>
      </c>
      <c r="X85" s="95">
        <f t="shared" si="12"/>
        <v>1389.1399999999999</v>
      </c>
      <c r="Y85" s="95">
        <v>1539.8400000000001</v>
      </c>
      <c r="Z85" s="95">
        <f t="shared" si="12"/>
        <v>1464.54</v>
      </c>
      <c r="AA85" s="95">
        <f t="shared" si="12"/>
        <v>1382.04</v>
      </c>
      <c r="AB85" s="95">
        <f t="shared" si="12"/>
        <v>1196.8399999999999</v>
      </c>
      <c r="AC85" s="95">
        <f t="shared" si="12"/>
        <v>1295.54</v>
      </c>
      <c r="AD85" s="95">
        <f t="shared" si="12"/>
        <v>1129.54</v>
      </c>
      <c r="AE85" s="95">
        <f t="shared" si="12"/>
        <v>1111.54</v>
      </c>
      <c r="AF85" s="95">
        <f t="shared" si="12"/>
        <v>979.54000000000008</v>
      </c>
      <c r="AG85" s="88">
        <f>AG82+AG78+AG66+AG62+AG44+AG84</f>
        <v>1466.0900000000001</v>
      </c>
      <c r="AH85" s="47">
        <f t="shared" si="8"/>
        <v>1539.8400000000001</v>
      </c>
      <c r="AI85" s="48">
        <f t="shared" si="9"/>
        <v>979.54000000000008</v>
      </c>
    </row>
    <row r="86" spans="1:37" ht="15.75" thickBot="1" x14ac:dyDescent="0.3">
      <c r="A86" s="74" t="s">
        <v>97</v>
      </c>
      <c r="B86" s="95">
        <f t="shared" ref="B86:AF86" si="13">B85-B93</f>
        <v>1030.24</v>
      </c>
      <c r="C86" s="95">
        <f t="shared" si="13"/>
        <v>1035.24</v>
      </c>
      <c r="D86" s="95">
        <f t="shared" si="13"/>
        <v>990.84</v>
      </c>
      <c r="E86" s="95">
        <f t="shared" si="13"/>
        <v>996.54000000000008</v>
      </c>
      <c r="F86" s="95">
        <f t="shared" si="13"/>
        <v>1029.74</v>
      </c>
      <c r="G86" s="95">
        <f t="shared" si="13"/>
        <v>1027.94</v>
      </c>
      <c r="H86" s="95">
        <f t="shared" si="13"/>
        <v>1115.94</v>
      </c>
      <c r="I86" s="95">
        <f t="shared" si="13"/>
        <v>1128.94</v>
      </c>
      <c r="J86" s="95">
        <f t="shared" si="13"/>
        <v>1202.7400000000002</v>
      </c>
      <c r="K86" s="95">
        <f t="shared" si="13"/>
        <v>1339.7400000000002</v>
      </c>
      <c r="L86" s="95">
        <f t="shared" si="13"/>
        <v>1473.6400000000003</v>
      </c>
      <c r="M86" s="95">
        <f t="shared" si="13"/>
        <v>1465.3400000000001</v>
      </c>
      <c r="N86" s="95">
        <f t="shared" si="13"/>
        <v>1380.14</v>
      </c>
      <c r="O86" s="95">
        <f t="shared" si="13"/>
        <v>1309.6400000000001</v>
      </c>
      <c r="P86" s="95">
        <f t="shared" si="13"/>
        <v>1295.04</v>
      </c>
      <c r="Q86" s="95">
        <f t="shared" si="13"/>
        <v>1260.04</v>
      </c>
      <c r="R86" s="95">
        <f t="shared" si="13"/>
        <v>1261.3400000000001</v>
      </c>
      <c r="S86" s="95">
        <f t="shared" si="13"/>
        <v>1295.44</v>
      </c>
      <c r="T86" s="95">
        <f t="shared" si="13"/>
        <v>1225.04</v>
      </c>
      <c r="U86" s="95">
        <f t="shared" si="13"/>
        <v>1220.8400000000001</v>
      </c>
      <c r="V86" s="95">
        <f t="shared" si="13"/>
        <v>1248.04</v>
      </c>
      <c r="W86" s="95">
        <f t="shared" si="13"/>
        <v>1193.1399999999999</v>
      </c>
      <c r="X86" s="95">
        <f t="shared" si="13"/>
        <v>1389.1399999999999</v>
      </c>
      <c r="Y86" s="95">
        <v>1539.8400000000001</v>
      </c>
      <c r="Z86" s="95">
        <f t="shared" si="13"/>
        <v>1464.54</v>
      </c>
      <c r="AA86" s="95">
        <f t="shared" si="13"/>
        <v>1382.04</v>
      </c>
      <c r="AB86" s="95">
        <f t="shared" si="13"/>
        <v>1196.8399999999999</v>
      </c>
      <c r="AC86" s="95">
        <f t="shared" si="13"/>
        <v>1295.54</v>
      </c>
      <c r="AD86" s="95">
        <f t="shared" si="13"/>
        <v>1129.54</v>
      </c>
      <c r="AE86" s="95">
        <f t="shared" si="13"/>
        <v>1111.54</v>
      </c>
      <c r="AF86" s="95">
        <f t="shared" si="13"/>
        <v>979.54000000000008</v>
      </c>
      <c r="AG86" s="88"/>
      <c r="AH86" s="47">
        <f t="shared" si="8"/>
        <v>1539.8400000000001</v>
      </c>
      <c r="AI86" s="48">
        <f t="shared" si="9"/>
        <v>979.54000000000008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468</v>
      </c>
      <c r="C94" s="60">
        <f t="shared" si="14"/>
        <v>460</v>
      </c>
      <c r="D94" s="60">
        <f t="shared" si="14"/>
        <v>459</v>
      </c>
      <c r="E94" s="60">
        <f t="shared" si="14"/>
        <v>495.5</v>
      </c>
      <c r="F94" s="60">
        <f t="shared" si="14"/>
        <v>495.7</v>
      </c>
      <c r="G94" s="60">
        <f t="shared" si="14"/>
        <v>478.6</v>
      </c>
      <c r="H94" s="60">
        <f t="shared" si="14"/>
        <v>511.1</v>
      </c>
      <c r="I94" s="60">
        <f t="shared" si="14"/>
        <v>503.3</v>
      </c>
      <c r="J94" s="60">
        <f t="shared" si="14"/>
        <v>322</v>
      </c>
      <c r="K94" s="60">
        <f t="shared" si="14"/>
        <v>240.5</v>
      </c>
      <c r="L94" s="60">
        <f t="shared" si="14"/>
        <v>228.4</v>
      </c>
      <c r="M94" s="60">
        <f t="shared" si="14"/>
        <v>259.5</v>
      </c>
      <c r="N94" s="60">
        <f t="shared" si="14"/>
        <v>381.2</v>
      </c>
      <c r="O94" s="60">
        <f t="shared" si="14"/>
        <v>261.2</v>
      </c>
      <c r="P94" s="60">
        <f t="shared" si="14"/>
        <v>451.59999999999997</v>
      </c>
      <c r="Q94" s="60">
        <f t="shared" si="14"/>
        <v>479.9</v>
      </c>
      <c r="R94" s="60">
        <f t="shared" si="14"/>
        <v>459.3</v>
      </c>
      <c r="S94" s="60">
        <f t="shared" si="14"/>
        <v>504.8</v>
      </c>
      <c r="T94" s="60">
        <f t="shared" si="14"/>
        <v>504.8</v>
      </c>
      <c r="U94" s="60">
        <f t="shared" si="14"/>
        <v>508.6</v>
      </c>
      <c r="V94" s="60">
        <f t="shared" si="14"/>
        <v>470</v>
      </c>
      <c r="W94" s="60">
        <f t="shared" si="14"/>
        <v>490</v>
      </c>
      <c r="X94" s="60">
        <f t="shared" si="14"/>
        <v>432.4</v>
      </c>
      <c r="Y94" s="60">
        <v>260.8</v>
      </c>
      <c r="Z94" s="60">
        <f t="shared" si="14"/>
        <v>165.8</v>
      </c>
      <c r="AA94" s="60">
        <f t="shared" si="14"/>
        <v>177.3</v>
      </c>
      <c r="AB94" s="60">
        <f t="shared" si="14"/>
        <v>231.8</v>
      </c>
      <c r="AC94" s="60">
        <f t="shared" si="14"/>
        <v>469</v>
      </c>
      <c r="AD94" s="60">
        <f t="shared" si="14"/>
        <v>441</v>
      </c>
      <c r="AE94" s="60">
        <f t="shared" si="14"/>
        <v>451</v>
      </c>
      <c r="AF94" s="60">
        <f t="shared" si="14"/>
        <v>453</v>
      </c>
      <c r="AG94" s="88"/>
      <c r="AH94" s="47">
        <f t="shared" si="8"/>
        <v>511.1</v>
      </c>
      <c r="AI94" s="48">
        <f t="shared" si="9"/>
        <v>165.8</v>
      </c>
    </row>
    <row r="95" spans="1:37" x14ac:dyDescent="0.25">
      <c r="A95" s="100" t="s">
        <v>103</v>
      </c>
      <c r="B95" s="101">
        <v>50</v>
      </c>
      <c r="C95" s="101">
        <v>49.923999999999999</v>
      </c>
      <c r="D95" s="101">
        <v>49.965000000000003</v>
      </c>
      <c r="E95" s="101">
        <v>50.034999999999997</v>
      </c>
      <c r="F95" s="101">
        <v>50.036999999999999</v>
      </c>
      <c r="G95" s="101">
        <v>49.978999999999999</v>
      </c>
      <c r="H95" s="101">
        <v>50.085000000000001</v>
      </c>
      <c r="I95" s="101">
        <v>50.005000000000003</v>
      </c>
      <c r="J95" s="101">
        <v>50.061</v>
      </c>
      <c r="K95" s="101">
        <v>49.872</v>
      </c>
      <c r="L95" s="101">
        <v>49.869</v>
      </c>
      <c r="M95" s="101">
        <v>50.12</v>
      </c>
      <c r="N95" s="101">
        <v>50.094000000000001</v>
      </c>
      <c r="O95" s="101">
        <v>50.052999999999997</v>
      </c>
      <c r="P95" s="101">
        <v>50.045999999999999</v>
      </c>
      <c r="Q95" s="101">
        <v>49.98</v>
      </c>
      <c r="R95" s="101">
        <v>50.048000000000002</v>
      </c>
      <c r="S95" s="101">
        <v>50.063000000000002</v>
      </c>
      <c r="T95" s="101">
        <v>50.063000000000002</v>
      </c>
      <c r="U95" s="101">
        <v>49.9</v>
      </c>
      <c r="V95" s="101">
        <v>49.94</v>
      </c>
      <c r="W95" s="101">
        <v>49.93</v>
      </c>
      <c r="X95" s="101">
        <v>50.03</v>
      </c>
      <c r="Y95" s="101">
        <v>49.97</v>
      </c>
      <c r="Z95" s="101">
        <v>49.96</v>
      </c>
      <c r="AA95" s="101">
        <v>49.98</v>
      </c>
      <c r="AB95" s="101">
        <v>49.98</v>
      </c>
      <c r="AC95" s="101">
        <v>50.031999999999996</v>
      </c>
      <c r="AD95" s="101">
        <v>49.902999999999999</v>
      </c>
      <c r="AE95" s="101">
        <v>50.03</v>
      </c>
      <c r="AF95" s="101">
        <v>49.912999999999997</v>
      </c>
      <c r="AG95" s="102"/>
      <c r="AH95" s="47">
        <f t="shared" si="8"/>
        <v>50.12</v>
      </c>
      <c r="AI95" s="48">
        <f t="shared" si="9"/>
        <v>49.869</v>
      </c>
    </row>
    <row r="96" spans="1:37" x14ac:dyDescent="0.25">
      <c r="A96" s="103" t="s">
        <v>104</v>
      </c>
      <c r="B96" s="65">
        <v>129</v>
      </c>
      <c r="C96" s="65">
        <v>128</v>
      </c>
      <c r="D96" s="65">
        <v>129</v>
      </c>
      <c r="E96" s="65">
        <v>129.19999999999999</v>
      </c>
      <c r="F96" s="65">
        <v>128.19999999999999</v>
      </c>
      <c r="G96" s="65">
        <v>128.5</v>
      </c>
      <c r="H96" s="65">
        <v>127.3</v>
      </c>
      <c r="I96" s="65">
        <v>129.80000000000001</v>
      </c>
      <c r="J96" s="65">
        <v>127.6</v>
      </c>
      <c r="K96" s="65">
        <v>128.5</v>
      </c>
      <c r="L96" s="65">
        <v>125.5</v>
      </c>
      <c r="M96" s="65">
        <v>126</v>
      </c>
      <c r="N96" s="65">
        <v>128.1</v>
      </c>
      <c r="O96" s="65">
        <v>128.30000000000001</v>
      </c>
      <c r="P96" s="65">
        <v>128.19999999999999</v>
      </c>
      <c r="Q96" s="65">
        <v>124.4</v>
      </c>
      <c r="R96" s="65">
        <v>125.6</v>
      </c>
      <c r="S96" s="65">
        <v>125.5</v>
      </c>
      <c r="T96" s="65">
        <v>125.5</v>
      </c>
      <c r="U96" s="65">
        <v>125.7</v>
      </c>
      <c r="V96" s="65">
        <v>129</v>
      </c>
      <c r="W96" s="65">
        <v>129</v>
      </c>
      <c r="X96" s="65">
        <v>129.4</v>
      </c>
      <c r="Y96" s="65">
        <v>128.1</v>
      </c>
      <c r="Z96" s="65">
        <v>130.4</v>
      </c>
      <c r="AA96" s="65">
        <v>130.1</v>
      </c>
      <c r="AB96" s="65">
        <v>130.1</v>
      </c>
      <c r="AC96" s="65">
        <v>131.4</v>
      </c>
      <c r="AD96" s="65">
        <v>129.30000000000001</v>
      </c>
      <c r="AE96" s="65">
        <v>129.1</v>
      </c>
      <c r="AF96" s="65">
        <v>129.5</v>
      </c>
      <c r="AG96" s="104"/>
      <c r="AH96" s="47">
        <f t="shared" si="8"/>
        <v>131.4</v>
      </c>
      <c r="AI96" s="48">
        <f t="shared" si="9"/>
        <v>124.4</v>
      </c>
    </row>
    <row r="97" spans="1:35" x14ac:dyDescent="0.25">
      <c r="A97" s="103" t="s">
        <v>105</v>
      </c>
      <c r="B97" s="65">
        <v>132</v>
      </c>
      <c r="C97" s="65">
        <v>132</v>
      </c>
      <c r="D97" s="65">
        <v>133</v>
      </c>
      <c r="E97" s="65">
        <v>132.5</v>
      </c>
      <c r="F97" s="65">
        <v>132.30000000000001</v>
      </c>
      <c r="G97" s="65">
        <v>132.19999999999999</v>
      </c>
      <c r="H97" s="65">
        <v>131.19999999999999</v>
      </c>
      <c r="I97" s="65">
        <v>132.30000000000001</v>
      </c>
      <c r="J97" s="65">
        <v>130.6</v>
      </c>
      <c r="K97" s="65">
        <v>130.5</v>
      </c>
      <c r="L97" s="65">
        <v>127.6</v>
      </c>
      <c r="M97" s="65">
        <v>128.30000000000001</v>
      </c>
      <c r="N97" s="65">
        <v>130.69999999999999</v>
      </c>
      <c r="O97" s="65">
        <v>130.6</v>
      </c>
      <c r="P97" s="65">
        <v>130.5</v>
      </c>
      <c r="Q97" s="65">
        <v>128</v>
      </c>
      <c r="R97" s="65">
        <v>129</v>
      </c>
      <c r="S97" s="65">
        <v>128.30000000000001</v>
      </c>
      <c r="T97" s="65">
        <v>128.30000000000001</v>
      </c>
      <c r="U97" s="65">
        <v>128.19999999999999</v>
      </c>
      <c r="V97" s="65">
        <v>131</v>
      </c>
      <c r="W97" s="65">
        <v>130.69999999999999</v>
      </c>
      <c r="X97" s="65">
        <v>131</v>
      </c>
      <c r="Y97" s="65">
        <v>130</v>
      </c>
      <c r="Z97" s="65">
        <v>132.19999999999999</v>
      </c>
      <c r="AA97" s="65">
        <v>132</v>
      </c>
      <c r="AB97" s="65">
        <v>132</v>
      </c>
      <c r="AC97" s="65">
        <v>133.1</v>
      </c>
      <c r="AD97" s="65">
        <v>131.5</v>
      </c>
      <c r="AE97" s="65">
        <v>131</v>
      </c>
      <c r="AF97" s="65">
        <v>132.5</v>
      </c>
      <c r="AG97" s="104"/>
      <c r="AH97" s="47">
        <f t="shared" si="8"/>
        <v>133.1</v>
      </c>
      <c r="AI97" s="48">
        <f t="shared" si="9"/>
        <v>127.6</v>
      </c>
    </row>
    <row r="98" spans="1:35" x14ac:dyDescent="0.25">
      <c r="A98" s="103" t="s">
        <v>106</v>
      </c>
      <c r="B98" s="65">
        <v>131</v>
      </c>
      <c r="C98" s="65">
        <v>131</v>
      </c>
      <c r="D98" s="65">
        <v>131</v>
      </c>
      <c r="E98" s="65">
        <v>130.4</v>
      </c>
      <c r="F98" s="65">
        <v>130.19999999999999</v>
      </c>
      <c r="G98" s="65">
        <v>130.69999999999999</v>
      </c>
      <c r="H98" s="65">
        <v>130.19999999999999</v>
      </c>
      <c r="I98" s="65">
        <v>129.9</v>
      </c>
      <c r="J98" s="65">
        <v>125.9</v>
      </c>
      <c r="K98" s="65">
        <v>127.8</v>
      </c>
      <c r="L98" s="65">
        <v>124.3</v>
      </c>
      <c r="M98" s="65">
        <v>126.4</v>
      </c>
      <c r="N98" s="65">
        <v>129.4</v>
      </c>
      <c r="O98" s="65">
        <v>129.4</v>
      </c>
      <c r="P98" s="65">
        <v>128.9</v>
      </c>
      <c r="Q98" s="65">
        <v>128.6</v>
      </c>
      <c r="R98" s="65">
        <v>127.7</v>
      </c>
      <c r="S98" s="65">
        <v>127.7</v>
      </c>
      <c r="T98" s="65">
        <v>127.7</v>
      </c>
      <c r="U98" s="65">
        <v>128.1</v>
      </c>
      <c r="V98" s="65">
        <v>131</v>
      </c>
      <c r="W98" s="65">
        <v>129</v>
      </c>
      <c r="X98" s="65">
        <v>127.2</v>
      </c>
      <c r="Y98" s="65">
        <v>126.4</v>
      </c>
      <c r="Z98" s="65">
        <v>129.19999999999999</v>
      </c>
      <c r="AA98" s="65">
        <v>130.1</v>
      </c>
      <c r="AB98" s="65">
        <v>130.1</v>
      </c>
      <c r="AC98" s="65">
        <v>129.5</v>
      </c>
      <c r="AD98" s="65">
        <v>128.80000000000001</v>
      </c>
      <c r="AE98" s="65">
        <v>131.9</v>
      </c>
      <c r="AF98" s="65">
        <v>130.80000000000001</v>
      </c>
      <c r="AG98" s="104"/>
      <c r="AH98" s="47">
        <f t="shared" si="8"/>
        <v>131.9</v>
      </c>
      <c r="AI98" s="48">
        <f t="shared" si="9"/>
        <v>124.3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133</v>
      </c>
      <c r="C100" s="106">
        <v>132</v>
      </c>
      <c r="D100" s="106">
        <v>132</v>
      </c>
      <c r="E100" s="106">
        <v>133.30000000000001</v>
      </c>
      <c r="F100" s="106">
        <v>132</v>
      </c>
      <c r="G100" s="106">
        <v>133.4</v>
      </c>
      <c r="H100" s="106">
        <v>132.19999999999999</v>
      </c>
      <c r="I100" s="106">
        <v>134.5</v>
      </c>
      <c r="J100" s="106">
        <v>132.9</v>
      </c>
      <c r="K100" s="106">
        <v>134.69999999999999</v>
      </c>
      <c r="L100" s="106">
        <v>133.19999999999999</v>
      </c>
      <c r="M100" s="106">
        <v>135.1</v>
      </c>
      <c r="N100" s="106">
        <v>134.80000000000001</v>
      </c>
      <c r="O100" s="106">
        <v>135</v>
      </c>
      <c r="P100" s="106">
        <v>132.1</v>
      </c>
      <c r="Q100" s="106">
        <v>134.30000000000001</v>
      </c>
      <c r="R100" s="106">
        <v>136.4</v>
      </c>
      <c r="S100" s="106">
        <v>136.4</v>
      </c>
      <c r="T100" s="106">
        <v>136.4</v>
      </c>
      <c r="U100" s="106">
        <v>132</v>
      </c>
      <c r="V100" s="106">
        <v>132</v>
      </c>
      <c r="W100" s="106">
        <v>134.30000000000001</v>
      </c>
      <c r="X100" s="106">
        <v>136.69999999999999</v>
      </c>
      <c r="Y100" s="106">
        <v>132.4</v>
      </c>
      <c r="Z100" s="106">
        <v>135.4</v>
      </c>
      <c r="AA100" s="106">
        <v>135.5</v>
      </c>
      <c r="AB100" s="106">
        <v>135.5</v>
      </c>
      <c r="AC100" s="106">
        <v>134.6</v>
      </c>
      <c r="AD100" s="106">
        <v>131.80000000000001</v>
      </c>
      <c r="AE100" s="106">
        <v>131.1</v>
      </c>
      <c r="AF100" s="106">
        <v>131.80000000000001</v>
      </c>
      <c r="AG100" s="107"/>
      <c r="AH100" s="47">
        <f t="shared" si="8"/>
        <v>136.69999999999999</v>
      </c>
      <c r="AI100" s="48">
        <f t="shared" si="9"/>
        <v>131.1</v>
      </c>
    </row>
    <row r="101" spans="1:35" x14ac:dyDescent="0.25">
      <c r="A101" s="103" t="s">
        <v>109</v>
      </c>
      <c r="B101" s="65">
        <v>130</v>
      </c>
      <c r="C101" s="65">
        <v>131</v>
      </c>
      <c r="D101" s="65">
        <v>134</v>
      </c>
      <c r="E101" s="65">
        <v>129.19999999999999</v>
      </c>
      <c r="F101" s="65">
        <v>129.6</v>
      </c>
      <c r="G101" s="65">
        <v>132.19999999999999</v>
      </c>
      <c r="H101" s="65">
        <v>130.4</v>
      </c>
      <c r="I101" s="65">
        <v>131.5</v>
      </c>
      <c r="J101" s="65">
        <v>131.1</v>
      </c>
      <c r="K101" s="65">
        <v>134.30000000000001</v>
      </c>
      <c r="L101" s="65">
        <v>127.6</v>
      </c>
      <c r="M101" s="65">
        <v>130.6</v>
      </c>
      <c r="N101" s="65">
        <v>130.6</v>
      </c>
      <c r="O101" s="65">
        <v>131.1</v>
      </c>
      <c r="P101" s="65">
        <v>123.3</v>
      </c>
      <c r="Q101" s="65">
        <v>135.19999999999999</v>
      </c>
      <c r="R101" s="65">
        <v>136.1</v>
      </c>
      <c r="S101" s="65">
        <v>136.1</v>
      </c>
      <c r="T101" s="65">
        <v>136.1</v>
      </c>
      <c r="U101" s="65">
        <v>130.5</v>
      </c>
      <c r="V101" s="65">
        <v>133</v>
      </c>
      <c r="W101" s="65">
        <v>132.6</v>
      </c>
      <c r="X101" s="65">
        <v>135.69999999999999</v>
      </c>
      <c r="Y101" s="65">
        <v>129.30000000000001</v>
      </c>
      <c r="Z101" s="65">
        <v>134.69999999999999</v>
      </c>
      <c r="AA101" s="65">
        <v>134.80000000000001</v>
      </c>
      <c r="AB101" s="65">
        <v>134.80000000000001</v>
      </c>
      <c r="AC101" s="65">
        <v>135.6</v>
      </c>
      <c r="AD101" s="65">
        <v>130.6</v>
      </c>
      <c r="AE101" s="65">
        <v>129</v>
      </c>
      <c r="AF101" s="65">
        <v>130.9</v>
      </c>
      <c r="AG101" s="104"/>
      <c r="AH101" s="47">
        <f t="shared" si="8"/>
        <v>136.1</v>
      </c>
      <c r="AI101" s="48">
        <f t="shared" si="9"/>
        <v>123.3</v>
      </c>
    </row>
    <row r="102" spans="1:35" ht="15.75" thickBot="1" x14ac:dyDescent="0.3">
      <c r="A102" s="103" t="s">
        <v>110</v>
      </c>
      <c r="B102" s="92">
        <v>66</v>
      </c>
      <c r="C102" s="92">
        <v>66</v>
      </c>
      <c r="D102" s="92">
        <v>67</v>
      </c>
      <c r="E102" s="92">
        <v>66.599999999999994</v>
      </c>
      <c r="F102" s="92">
        <v>66.3</v>
      </c>
      <c r="G102" s="92">
        <v>66.2</v>
      </c>
      <c r="H102" s="92">
        <v>65.599999999999994</v>
      </c>
      <c r="I102" s="92">
        <v>66.5</v>
      </c>
      <c r="J102" s="92">
        <v>65.400000000000006</v>
      </c>
      <c r="K102" s="92">
        <v>65.599999999999994</v>
      </c>
      <c r="L102" s="92">
        <v>63.8</v>
      </c>
      <c r="M102" s="92">
        <v>64.2</v>
      </c>
      <c r="N102" s="92">
        <v>65.599999999999994</v>
      </c>
      <c r="O102" s="92">
        <v>65.099999999999994</v>
      </c>
      <c r="P102" s="92">
        <v>65.400000000000006</v>
      </c>
      <c r="Q102" s="92">
        <v>64.099999999999994</v>
      </c>
      <c r="R102" s="92">
        <v>64</v>
      </c>
      <c r="S102" s="92">
        <v>64</v>
      </c>
      <c r="T102" s="92">
        <v>64</v>
      </c>
      <c r="U102" s="92">
        <v>64.2</v>
      </c>
      <c r="V102" s="92">
        <v>65.400000000000006</v>
      </c>
      <c r="W102" s="92">
        <v>65.599999999999994</v>
      </c>
      <c r="X102" s="92">
        <v>65.8</v>
      </c>
      <c r="Y102" s="92">
        <v>65.2</v>
      </c>
      <c r="Z102" s="92">
        <v>66.400000000000006</v>
      </c>
      <c r="AA102" s="92">
        <v>66</v>
      </c>
      <c r="AB102" s="92">
        <v>66</v>
      </c>
      <c r="AC102" s="92">
        <v>66.900000000000006</v>
      </c>
      <c r="AD102" s="92">
        <v>66</v>
      </c>
      <c r="AE102" s="92">
        <v>66.400000000000006</v>
      </c>
      <c r="AF102" s="92">
        <v>66.900000000000006</v>
      </c>
      <c r="AG102" s="108"/>
      <c r="AH102" s="47">
        <f t="shared" si="8"/>
        <v>67</v>
      </c>
      <c r="AI102" s="48">
        <f t="shared" si="9"/>
        <v>63.8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252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121.9</v>
      </c>
      <c r="C104" s="111">
        <f t="shared" si="15"/>
        <v>120.84</v>
      </c>
      <c r="D104" s="111">
        <f t="shared" si="15"/>
        <v>110.84</v>
      </c>
      <c r="E104" s="111">
        <f t="shared" si="15"/>
        <v>121.03999999999999</v>
      </c>
      <c r="F104" s="111">
        <f t="shared" si="15"/>
        <v>117.94</v>
      </c>
      <c r="G104" s="111">
        <f t="shared" si="15"/>
        <v>136.23999999999998</v>
      </c>
      <c r="H104" s="111">
        <f t="shared" si="15"/>
        <v>160.53999999999996</v>
      </c>
      <c r="I104" s="111">
        <f t="shared" si="15"/>
        <v>200.34</v>
      </c>
      <c r="J104" s="111">
        <f t="shared" si="15"/>
        <v>248.94</v>
      </c>
      <c r="K104" s="111">
        <f t="shared" si="15"/>
        <v>291.54000000000002</v>
      </c>
      <c r="L104" s="111">
        <f t="shared" si="15"/>
        <v>339.94</v>
      </c>
      <c r="M104" s="111">
        <f t="shared" si="15"/>
        <v>344.34</v>
      </c>
      <c r="N104" s="111">
        <f t="shared" si="15"/>
        <v>317.83999999999997</v>
      </c>
      <c r="O104" s="111">
        <f t="shared" si="15"/>
        <v>306.94</v>
      </c>
      <c r="P104" s="111">
        <v>42</v>
      </c>
      <c r="Q104" s="111">
        <f t="shared" si="15"/>
        <v>265</v>
      </c>
      <c r="R104" s="111">
        <f t="shared" si="15"/>
        <v>248.5</v>
      </c>
      <c r="S104" s="111">
        <f t="shared" si="15"/>
        <v>254.29999999999998</v>
      </c>
      <c r="T104" s="111">
        <f t="shared" si="15"/>
        <v>249.3</v>
      </c>
      <c r="U104" s="111">
        <f t="shared" si="15"/>
        <v>249.39999999999998</v>
      </c>
      <c r="V104" s="111">
        <f t="shared" si="15"/>
        <v>236.7</v>
      </c>
      <c r="W104" s="111">
        <f t="shared" si="15"/>
        <v>260.10000000000002</v>
      </c>
      <c r="X104" s="111">
        <f t="shared" si="15"/>
        <v>305.60000000000002</v>
      </c>
      <c r="Y104" s="111">
        <v>402.09708333333327</v>
      </c>
      <c r="Z104" s="111">
        <f t="shared" si="15"/>
        <v>314.89999999999998</v>
      </c>
      <c r="AA104" s="111">
        <f t="shared" si="15"/>
        <v>316.10000000000002</v>
      </c>
      <c r="AB104" s="111">
        <f t="shared" si="15"/>
        <v>316.10000000000002</v>
      </c>
      <c r="AC104" s="111">
        <f t="shared" si="15"/>
        <v>294.5</v>
      </c>
      <c r="AD104" s="111">
        <f t="shared" si="15"/>
        <v>256.7</v>
      </c>
      <c r="AE104" s="111">
        <f t="shared" si="15"/>
        <v>210.9</v>
      </c>
      <c r="AF104" s="111">
        <f t="shared" si="15"/>
        <v>156.9</v>
      </c>
      <c r="AG104" s="112"/>
      <c r="AH104" s="47">
        <f t="shared" si="8"/>
        <v>402.09708333333327</v>
      </c>
      <c r="AI104" s="48">
        <f t="shared" si="9"/>
        <v>42</v>
      </c>
    </row>
    <row r="105" spans="1:35" x14ac:dyDescent="0.25">
      <c r="A105" s="100" t="s">
        <v>113</v>
      </c>
      <c r="B105" s="113">
        <v>-14</v>
      </c>
      <c r="C105" s="113">
        <v>-15</v>
      </c>
      <c r="D105" s="113">
        <v>-15</v>
      </c>
      <c r="E105" s="113">
        <v>-16.100000000000001</v>
      </c>
      <c r="F105" s="113">
        <v>-15.6</v>
      </c>
      <c r="G105" s="113">
        <v>-9.1</v>
      </c>
      <c r="H105" s="113">
        <v>-2.6</v>
      </c>
      <c r="I105" s="113">
        <v>-2.1</v>
      </c>
      <c r="J105" s="113">
        <v>4.5999999999999996</v>
      </c>
      <c r="K105" s="113">
        <v>20.9</v>
      </c>
      <c r="L105" s="113">
        <v>26.8</v>
      </c>
      <c r="M105" s="113">
        <v>25.4</v>
      </c>
      <c r="N105" s="113">
        <v>15.9</v>
      </c>
      <c r="O105" s="113">
        <v>19.600000000000001</v>
      </c>
      <c r="P105" s="113">
        <v>15.1</v>
      </c>
      <c r="Q105" s="113">
        <v>7.4</v>
      </c>
      <c r="R105" s="113">
        <v>-3.3</v>
      </c>
      <c r="S105" s="113">
        <v>0.8</v>
      </c>
      <c r="T105" s="113">
        <v>-3.1</v>
      </c>
      <c r="U105" s="113">
        <v>0.8</v>
      </c>
      <c r="V105" s="113">
        <v>-1</v>
      </c>
      <c r="W105" s="113">
        <v>0</v>
      </c>
      <c r="X105" s="113">
        <v>23.6</v>
      </c>
      <c r="Y105" s="113">
        <v>27.6</v>
      </c>
      <c r="Z105" s="113">
        <v>27</v>
      </c>
      <c r="AA105" s="113">
        <v>27.4</v>
      </c>
      <c r="AB105" s="113">
        <v>27.4</v>
      </c>
      <c r="AC105" s="113">
        <v>12.8</v>
      </c>
      <c r="AD105" s="113">
        <v>6.3</v>
      </c>
      <c r="AE105" s="113">
        <v>-12.7</v>
      </c>
      <c r="AF105" s="113">
        <v>-28.4</v>
      </c>
      <c r="AG105" s="114">
        <v>75</v>
      </c>
      <c r="AH105" s="47">
        <f t="shared" si="8"/>
        <v>27.6</v>
      </c>
      <c r="AI105" s="48">
        <f t="shared" si="9"/>
        <v>-28.4</v>
      </c>
    </row>
    <row r="106" spans="1:35" x14ac:dyDescent="0.25">
      <c r="A106" s="103" t="s">
        <v>114</v>
      </c>
      <c r="B106" s="115">
        <v>-15</v>
      </c>
      <c r="C106" s="115">
        <v>-14</v>
      </c>
      <c r="D106" s="115">
        <v>-16</v>
      </c>
      <c r="E106" s="115">
        <v>-18.399999999999999</v>
      </c>
      <c r="F106" s="115">
        <v>-15.5</v>
      </c>
      <c r="G106" s="115">
        <v>-6.9</v>
      </c>
      <c r="H106" s="115">
        <v>0</v>
      </c>
      <c r="I106" s="115">
        <v>1</v>
      </c>
      <c r="J106" s="115">
        <v>9.1</v>
      </c>
      <c r="K106" s="115">
        <v>31.1</v>
      </c>
      <c r="L106" s="115">
        <v>30.3</v>
      </c>
      <c r="M106" s="115">
        <v>27.6</v>
      </c>
      <c r="N106" s="115">
        <v>15.8</v>
      </c>
      <c r="O106" s="115">
        <v>23.4</v>
      </c>
      <c r="P106" s="115">
        <v>25.2</v>
      </c>
      <c r="Q106" s="115">
        <v>14</v>
      </c>
      <c r="R106" s="115">
        <v>0</v>
      </c>
      <c r="S106" s="115">
        <v>3.2</v>
      </c>
      <c r="T106" s="115">
        <v>2.1</v>
      </c>
      <c r="U106" s="115">
        <v>-2.1</v>
      </c>
      <c r="V106" s="115">
        <v>-6.4</v>
      </c>
      <c r="W106" s="115">
        <v>-4.3</v>
      </c>
      <c r="X106" s="115">
        <v>26</v>
      </c>
      <c r="Y106" s="115">
        <v>31.4</v>
      </c>
      <c r="Z106" s="115">
        <v>31.3</v>
      </c>
      <c r="AA106" s="115">
        <v>31.8</v>
      </c>
      <c r="AB106" s="115">
        <v>31.8</v>
      </c>
      <c r="AC106" s="115">
        <v>12.1</v>
      </c>
      <c r="AD106" s="115">
        <v>3.6</v>
      </c>
      <c r="AE106" s="115">
        <v>-18</v>
      </c>
      <c r="AF106" s="115">
        <v>-35.5</v>
      </c>
      <c r="AG106" s="114">
        <v>240</v>
      </c>
      <c r="AH106" s="47">
        <f t="shared" si="8"/>
        <v>31.8</v>
      </c>
      <c r="AI106" s="48">
        <f t="shared" si="9"/>
        <v>-35.5</v>
      </c>
    </row>
    <row r="107" spans="1:35" x14ac:dyDescent="0.25">
      <c r="A107" s="103" t="s">
        <v>115</v>
      </c>
      <c r="B107" s="115">
        <v>-30</v>
      </c>
      <c r="C107" s="115">
        <v>-32</v>
      </c>
      <c r="D107" s="115">
        <v>-36</v>
      </c>
      <c r="E107" s="115">
        <f>-15.2-17.2</f>
        <v>-32.4</v>
      </c>
      <c r="F107" s="115">
        <f>-17.1-18.7</f>
        <v>-35.799999999999997</v>
      </c>
      <c r="G107" s="115">
        <f>-14.8-15.9</f>
        <v>-30.700000000000003</v>
      </c>
      <c r="H107" s="115">
        <f>-10.7-11.7</f>
        <v>-22.4</v>
      </c>
      <c r="I107" s="115">
        <v>-4.5</v>
      </c>
      <c r="J107" s="115">
        <v>0.6</v>
      </c>
      <c r="K107" s="115">
        <v>14.8</v>
      </c>
      <c r="L107" s="115">
        <v>60</v>
      </c>
      <c r="M107" s="115">
        <v>68</v>
      </c>
      <c r="N107" s="115">
        <v>49</v>
      </c>
      <c r="O107" s="115">
        <v>40</v>
      </c>
      <c r="P107" s="115">
        <v>39.5</v>
      </c>
      <c r="Q107" s="115">
        <v>21.4</v>
      </c>
      <c r="R107" s="115">
        <v>32</v>
      </c>
      <c r="S107" s="115">
        <v>25.7</v>
      </c>
      <c r="T107" s="115">
        <v>25.7</v>
      </c>
      <c r="U107" s="115">
        <f>4.2+16</f>
        <v>20.2</v>
      </c>
      <c r="V107" s="115">
        <v>17</v>
      </c>
      <c r="W107" s="115">
        <f>7.6+22.4</f>
        <v>30</v>
      </c>
      <c r="X107" s="115">
        <f>-3.8+20.2</f>
        <v>16.399999999999999</v>
      </c>
      <c r="Y107" s="115">
        <v>31.200000000000003</v>
      </c>
      <c r="Z107" s="115">
        <f>-4.3+25.2</f>
        <v>20.9</v>
      </c>
      <c r="AA107" s="115">
        <f>-0.6+23.3</f>
        <v>22.7</v>
      </c>
      <c r="AB107" s="115">
        <f>-0.6+23.3</f>
        <v>22.7</v>
      </c>
      <c r="AC107" s="115">
        <f>20+18</f>
        <v>38</v>
      </c>
      <c r="AD107" s="115">
        <v>32</v>
      </c>
      <c r="AE107" s="115">
        <f>12+14</f>
        <v>26</v>
      </c>
      <c r="AF107" s="115">
        <v>16</v>
      </c>
      <c r="AG107" s="114">
        <v>240</v>
      </c>
      <c r="AH107" s="47">
        <f t="shared" si="8"/>
        <v>68</v>
      </c>
      <c r="AI107" s="48">
        <f t="shared" si="9"/>
        <v>-36</v>
      </c>
    </row>
    <row r="108" spans="1:35" x14ac:dyDescent="0.25">
      <c r="A108" s="103" t="s">
        <v>116</v>
      </c>
      <c r="B108" s="115">
        <v>-4</v>
      </c>
      <c r="C108" s="115">
        <v>-2</v>
      </c>
      <c r="D108" s="115">
        <v>-2</v>
      </c>
      <c r="E108" s="115">
        <v>-2.6</v>
      </c>
      <c r="F108" s="115">
        <v>-2.6</v>
      </c>
      <c r="G108" s="115">
        <v>-3.1</v>
      </c>
      <c r="H108" s="115">
        <v>0.3</v>
      </c>
      <c r="I108" s="115">
        <v>9</v>
      </c>
      <c r="J108" s="115">
        <v>23.3</v>
      </c>
      <c r="K108" s="115">
        <v>20.9</v>
      </c>
      <c r="L108" s="115">
        <v>27.1</v>
      </c>
      <c r="M108" s="115">
        <v>23.3</v>
      </c>
      <c r="N108" s="115">
        <v>19.100000000000001</v>
      </c>
      <c r="O108" s="115">
        <v>18.600000000000001</v>
      </c>
      <c r="P108" s="115">
        <v>14.3</v>
      </c>
      <c r="Q108" s="115">
        <v>9.3000000000000007</v>
      </c>
      <c r="R108" s="115">
        <v>7.4</v>
      </c>
      <c r="S108" s="115">
        <v>6.6</v>
      </c>
      <c r="T108" s="115">
        <v>6.6</v>
      </c>
      <c r="U108" s="115">
        <v>18.100000000000001</v>
      </c>
      <c r="V108" s="115">
        <v>31</v>
      </c>
      <c r="W108" s="115">
        <v>35</v>
      </c>
      <c r="X108" s="115">
        <v>45.4</v>
      </c>
      <c r="Y108" s="115">
        <v>58</v>
      </c>
      <c r="Z108" s="115">
        <v>51</v>
      </c>
      <c r="AA108" s="115">
        <v>50.4</v>
      </c>
      <c r="AB108" s="115">
        <v>50.4</v>
      </c>
      <c r="AC108" s="115">
        <v>39.9</v>
      </c>
      <c r="AD108" s="115">
        <v>9</v>
      </c>
      <c r="AE108" s="115">
        <v>5.8</v>
      </c>
      <c r="AF108" s="115">
        <v>4</v>
      </c>
      <c r="AG108" s="114">
        <v>60</v>
      </c>
      <c r="AH108" s="47">
        <f t="shared" si="8"/>
        <v>58</v>
      </c>
      <c r="AI108" s="48">
        <f t="shared" si="9"/>
        <v>-4</v>
      </c>
    </row>
    <row r="109" spans="1:35" x14ac:dyDescent="0.25">
      <c r="A109" s="116" t="s">
        <v>117</v>
      </c>
      <c r="B109" s="117">
        <v>88</v>
      </c>
      <c r="C109" s="117">
        <v>86</v>
      </c>
      <c r="D109" s="117">
        <v>82</v>
      </c>
      <c r="E109" s="117">
        <v>91</v>
      </c>
      <c r="F109" s="117">
        <v>87.9</v>
      </c>
      <c r="G109" s="117">
        <v>86.5</v>
      </c>
      <c r="H109" s="117">
        <v>88.1</v>
      </c>
      <c r="I109" s="117">
        <v>100.1</v>
      </c>
      <c r="J109" s="117">
        <v>114.2</v>
      </c>
      <c r="K109" s="117">
        <v>106.7</v>
      </c>
      <c r="L109" s="117">
        <v>94.5</v>
      </c>
      <c r="M109" s="117">
        <v>96.8</v>
      </c>
      <c r="N109" s="117">
        <v>112.8</v>
      </c>
      <c r="O109" s="117">
        <v>100.1</v>
      </c>
      <c r="P109" s="117">
        <v>87.8</v>
      </c>
      <c r="Q109" s="117">
        <v>108.7</v>
      </c>
      <c r="R109" s="117">
        <v>108.2</v>
      </c>
      <c r="S109" s="117">
        <v>115.9</v>
      </c>
      <c r="T109" s="117">
        <v>115.9</v>
      </c>
      <c r="U109" s="117">
        <v>110.3</v>
      </c>
      <c r="V109" s="117">
        <v>94</v>
      </c>
      <c r="W109" s="117">
        <v>99.3</v>
      </c>
      <c r="X109" s="117">
        <v>94.1</v>
      </c>
      <c r="Y109" s="117">
        <v>93.1</v>
      </c>
      <c r="Z109" s="117">
        <v>84.6</v>
      </c>
      <c r="AA109" s="117">
        <v>83.7</v>
      </c>
      <c r="AB109" s="117">
        <v>83.7</v>
      </c>
      <c r="AC109" s="117">
        <v>91.6</v>
      </c>
      <c r="AD109" s="117">
        <v>104</v>
      </c>
      <c r="AE109" s="117">
        <v>108</v>
      </c>
      <c r="AF109" s="117">
        <v>99</v>
      </c>
      <c r="AG109" s="118">
        <v>120</v>
      </c>
      <c r="AH109" s="47">
        <f t="shared" si="8"/>
        <v>115.9</v>
      </c>
      <c r="AI109" s="48">
        <f t="shared" si="9"/>
        <v>82</v>
      </c>
    </row>
    <row r="110" spans="1:35" x14ac:dyDescent="0.25">
      <c r="A110" s="116" t="s">
        <v>118</v>
      </c>
      <c r="B110" s="117">
        <v>97</v>
      </c>
      <c r="C110" s="117">
        <v>95</v>
      </c>
      <c r="D110" s="117" t="s">
        <v>251</v>
      </c>
      <c r="E110" s="117">
        <v>103.1</v>
      </c>
      <c r="F110" s="117">
        <v>101.8</v>
      </c>
      <c r="G110" s="117">
        <v>96.1</v>
      </c>
      <c r="H110" s="117">
        <v>100.2</v>
      </c>
      <c r="I110" s="117">
        <v>98.1</v>
      </c>
      <c r="J110" s="117">
        <v>96.4</v>
      </c>
      <c r="K110" s="117">
        <v>81</v>
      </c>
      <c r="L110" s="117">
        <v>92.4</v>
      </c>
      <c r="M110" s="117">
        <v>98.9</v>
      </c>
      <c r="N110" s="117">
        <v>85.7</v>
      </c>
      <c r="O110" s="117">
        <v>70.400000000000006</v>
      </c>
      <c r="P110" s="117">
        <v>70.5</v>
      </c>
      <c r="Q110" s="117">
        <v>88.4</v>
      </c>
      <c r="R110" s="117">
        <v>85.9</v>
      </c>
      <c r="S110" s="117">
        <v>95.3</v>
      </c>
      <c r="T110" s="117">
        <v>95.3</v>
      </c>
      <c r="U110" s="117">
        <v>91.3</v>
      </c>
      <c r="V110" s="117">
        <v>71</v>
      </c>
      <c r="W110" s="117">
        <v>80.400000000000006</v>
      </c>
      <c r="X110" s="117">
        <v>63.1</v>
      </c>
      <c r="Y110" s="117">
        <v>79.099999999999994</v>
      </c>
      <c r="Z110" s="117">
        <v>67.900000000000006</v>
      </c>
      <c r="AA110" s="117">
        <v>69.099999999999994</v>
      </c>
      <c r="AB110" s="117">
        <v>69.099999999999994</v>
      </c>
      <c r="AC110" s="117">
        <v>67.599999999999994</v>
      </c>
      <c r="AD110" s="117">
        <v>82</v>
      </c>
      <c r="AE110" s="117">
        <v>90.2</v>
      </c>
      <c r="AF110" s="117">
        <v>91</v>
      </c>
      <c r="AG110" s="118"/>
      <c r="AH110" s="47">
        <f t="shared" si="8"/>
        <v>103.1</v>
      </c>
      <c r="AI110" s="48">
        <f t="shared" si="9"/>
        <v>63.1</v>
      </c>
    </row>
    <row r="111" spans="1:35" x14ac:dyDescent="0.25">
      <c r="A111" s="116" t="s">
        <v>119</v>
      </c>
      <c r="B111" s="117">
        <v>37</v>
      </c>
      <c r="C111" s="117">
        <v>41</v>
      </c>
      <c r="D111" s="117">
        <v>39</v>
      </c>
      <c r="E111" s="117">
        <v>41.6</v>
      </c>
      <c r="F111" s="117">
        <v>43.9</v>
      </c>
      <c r="G111" s="117">
        <v>35.6</v>
      </c>
      <c r="H111" s="117">
        <v>29.3</v>
      </c>
      <c r="I111" s="117">
        <v>29.1</v>
      </c>
      <c r="J111" s="117">
        <v>27.8</v>
      </c>
      <c r="K111" s="117">
        <v>13</v>
      </c>
      <c r="L111" s="117">
        <v>15.5</v>
      </c>
      <c r="M111" s="117">
        <v>13.5</v>
      </c>
      <c r="N111" s="117">
        <v>15.7</v>
      </c>
      <c r="O111" s="117">
        <v>14.4</v>
      </c>
      <c r="P111" s="117">
        <v>29</v>
      </c>
      <c r="Q111" s="117">
        <v>33.799999999999997</v>
      </c>
      <c r="R111" s="117">
        <v>44.3</v>
      </c>
      <c r="S111" s="117">
        <v>44.1</v>
      </c>
      <c r="T111" s="117">
        <v>44.1</v>
      </c>
      <c r="U111" s="117">
        <v>74.400000000000006</v>
      </c>
      <c r="V111" s="117">
        <v>26.5</v>
      </c>
      <c r="W111" s="117">
        <v>20.399999999999999</v>
      </c>
      <c r="X111" s="117">
        <v>11.6</v>
      </c>
      <c r="Y111" s="117">
        <v>24.5</v>
      </c>
      <c r="Z111" s="117">
        <v>18.3</v>
      </c>
      <c r="AA111" s="117">
        <v>18.600000000000001</v>
      </c>
      <c r="AB111" s="117">
        <v>18.600000000000001</v>
      </c>
      <c r="AC111" s="117">
        <v>26</v>
      </c>
      <c r="AD111" s="117">
        <v>37</v>
      </c>
      <c r="AE111" s="117">
        <v>53.2</v>
      </c>
      <c r="AF111" s="117">
        <v>56.4</v>
      </c>
      <c r="AG111" s="119"/>
      <c r="AH111" s="47">
        <f t="shared" si="8"/>
        <v>74.400000000000006</v>
      </c>
      <c r="AI111" s="48">
        <f t="shared" si="9"/>
        <v>11.6</v>
      </c>
    </row>
    <row r="112" spans="1:35" x14ac:dyDescent="0.25">
      <c r="A112" s="120" t="s">
        <v>120</v>
      </c>
      <c r="B112" s="106">
        <v>3</v>
      </c>
      <c r="C112" s="106">
        <v>5</v>
      </c>
      <c r="D112" s="106">
        <v>12</v>
      </c>
      <c r="E112" s="106">
        <v>9.6999999999999993</v>
      </c>
      <c r="F112" s="106">
        <v>13.2</v>
      </c>
      <c r="G112" s="106">
        <v>7.3</v>
      </c>
      <c r="H112" s="106">
        <v>-4.8</v>
      </c>
      <c r="I112" s="106">
        <v>-14</v>
      </c>
      <c r="J112" s="106">
        <v>-30.9</v>
      </c>
      <c r="K112" s="106">
        <v>-46.8</v>
      </c>
      <c r="L112" s="106">
        <v>-58.7</v>
      </c>
      <c r="M112" s="106">
        <v>-64.400000000000006</v>
      </c>
      <c r="N112" s="106">
        <v>-59.5</v>
      </c>
      <c r="O112" s="106">
        <v>-40.4</v>
      </c>
      <c r="P112" s="106">
        <v>-38.5</v>
      </c>
      <c r="Q112" s="106">
        <v>-30.1</v>
      </c>
      <c r="R112" s="106">
        <v>-28.6</v>
      </c>
      <c r="S112" s="106">
        <v>-28.2</v>
      </c>
      <c r="T112" s="106">
        <v>-28.2</v>
      </c>
      <c r="U112" s="106">
        <v>-36</v>
      </c>
      <c r="V112" s="106">
        <v>38</v>
      </c>
      <c r="W112" s="106">
        <v>-46.7</v>
      </c>
      <c r="X112" s="106">
        <v>-18.5</v>
      </c>
      <c r="Y112" s="106">
        <v>82.3</v>
      </c>
      <c r="Z112" s="106">
        <v>-54.5</v>
      </c>
      <c r="AA112" s="106">
        <v>-53.2</v>
      </c>
      <c r="AB112" s="106">
        <v>-53.2</v>
      </c>
      <c r="AC112" s="106">
        <v>-29.6</v>
      </c>
      <c r="AD112" s="106">
        <v>-14</v>
      </c>
      <c r="AE112" s="106">
        <v>-3.5</v>
      </c>
      <c r="AF112" s="106">
        <v>7.5</v>
      </c>
      <c r="AG112" s="119"/>
      <c r="AH112" s="47">
        <f t="shared" si="8"/>
        <v>82.3</v>
      </c>
      <c r="AI112" s="48">
        <f t="shared" si="9"/>
        <v>-64.400000000000006</v>
      </c>
    </row>
    <row r="113" spans="1:37" ht="15.75" thickBot="1" x14ac:dyDescent="0.3">
      <c r="A113" s="120" t="s">
        <v>121</v>
      </c>
      <c r="B113" s="106">
        <v>60</v>
      </c>
      <c r="C113" s="106">
        <v>58</v>
      </c>
      <c r="D113" s="106">
        <v>55</v>
      </c>
      <c r="E113" s="106">
        <v>53.3</v>
      </c>
      <c r="F113" s="106">
        <v>53.7</v>
      </c>
      <c r="G113" s="106">
        <v>51.6</v>
      </c>
      <c r="H113" s="106">
        <v>58.1</v>
      </c>
      <c r="I113" s="106">
        <v>62.1</v>
      </c>
      <c r="J113" s="106">
        <v>67.400000000000006</v>
      </c>
      <c r="K113" s="106">
        <v>76.7</v>
      </c>
      <c r="L113" s="106">
        <v>78.599999999999994</v>
      </c>
      <c r="M113" s="106">
        <v>83.6</v>
      </c>
      <c r="N113" s="106">
        <v>74.2</v>
      </c>
      <c r="O113" s="106">
        <v>63.1</v>
      </c>
      <c r="P113" s="106">
        <v>80.7</v>
      </c>
      <c r="Q113" s="106">
        <v>83</v>
      </c>
      <c r="R113" s="106">
        <v>80.3</v>
      </c>
      <c r="S113" s="106">
        <v>84.8</v>
      </c>
      <c r="T113" s="106">
        <v>84.8</v>
      </c>
      <c r="U113" s="106">
        <v>89.4</v>
      </c>
      <c r="V113" s="106">
        <v>75</v>
      </c>
      <c r="W113" s="106">
        <v>64.099999999999994</v>
      </c>
      <c r="X113" s="106">
        <v>77.7</v>
      </c>
      <c r="Y113" s="106">
        <v>85.5</v>
      </c>
      <c r="Z113" s="106">
        <v>70.099999999999994</v>
      </c>
      <c r="AA113" s="106">
        <v>68.7</v>
      </c>
      <c r="AB113" s="106">
        <v>68.7</v>
      </c>
      <c r="AC113" s="106">
        <v>76.7</v>
      </c>
      <c r="AD113" s="106">
        <v>76</v>
      </c>
      <c r="AE113" s="106">
        <v>67</v>
      </c>
      <c r="AF113" s="106">
        <v>56.5</v>
      </c>
      <c r="AG113" s="119"/>
      <c r="AH113" s="47">
        <f t="shared" si="8"/>
        <v>89.4</v>
      </c>
      <c r="AI113" s="48">
        <f t="shared" si="9"/>
        <v>51.6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1473.6400000000003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2079/11/5)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1030.24</v>
      </c>
      <c r="U242" s="170">
        <f t="shared" si="20"/>
        <v>1035.24</v>
      </c>
      <c r="V242" s="170">
        <f t="shared" si="20"/>
        <v>990.84</v>
      </c>
      <c r="W242" s="170">
        <f t="shared" si="20"/>
        <v>996.54000000000008</v>
      </c>
      <c r="X242" s="170">
        <f t="shared" si="20"/>
        <v>1029.74</v>
      </c>
      <c r="Y242" s="170">
        <f t="shared" si="20"/>
        <v>1027.94</v>
      </c>
      <c r="Z242" s="170">
        <f t="shared" si="20"/>
        <v>1115.94</v>
      </c>
      <c r="AA242" s="170">
        <f t="shared" si="20"/>
        <v>1128.94</v>
      </c>
      <c r="AB242" s="170">
        <f t="shared" si="20"/>
        <v>1202.7400000000002</v>
      </c>
      <c r="AC242" s="170">
        <f t="shared" si="20"/>
        <v>1339.7400000000002</v>
      </c>
      <c r="AD242" s="170">
        <f t="shared" si="20"/>
        <v>1473.6400000000003</v>
      </c>
      <c r="AE242" s="170">
        <f t="shared" si="20"/>
        <v>1465.3400000000001</v>
      </c>
      <c r="AF242" s="170">
        <f t="shared" si="20"/>
        <v>1380.14</v>
      </c>
      <c r="AG242" s="170">
        <f t="shared" si="20"/>
        <v>1309.6400000000001</v>
      </c>
      <c r="AH242" s="170">
        <f t="shared" si="20"/>
        <v>1295.04</v>
      </c>
      <c r="AI242" s="170">
        <f t="shared" si="20"/>
        <v>1260.04</v>
      </c>
      <c r="AJ242" s="170">
        <f t="shared" si="20"/>
        <v>1261.3400000000001</v>
      </c>
      <c r="AK242" s="170">
        <f t="shared" si="20"/>
        <v>1295.44</v>
      </c>
      <c r="AL242" s="170">
        <f t="shared" si="20"/>
        <v>1225.04</v>
      </c>
      <c r="AM242" s="170">
        <f t="shared" si="20"/>
        <v>1220.8400000000001</v>
      </c>
      <c r="AN242" s="170">
        <f t="shared" si="20"/>
        <v>1248.04</v>
      </c>
      <c r="AO242" s="170">
        <f t="shared" si="20"/>
        <v>1193.1399999999999</v>
      </c>
      <c r="AP242" s="170">
        <f t="shared" si="20"/>
        <v>1389.1399999999999</v>
      </c>
      <c r="AQ242" s="170">
        <f t="shared" si="20"/>
        <v>1539.8400000000001</v>
      </c>
      <c r="AR242" s="170">
        <f t="shared" si="20"/>
        <v>1464.54</v>
      </c>
      <c r="AS242" s="170">
        <f t="shared" si="20"/>
        <v>1382.04</v>
      </c>
      <c r="AT242" s="170">
        <f t="shared" si="20"/>
        <v>1196.8399999999999</v>
      </c>
      <c r="AU242" s="170">
        <f t="shared" si="20"/>
        <v>1295.54</v>
      </c>
      <c r="AV242" s="170">
        <f t="shared" si="20"/>
        <v>1129.54</v>
      </c>
      <c r="AW242" s="170">
        <f t="shared" si="20"/>
        <v>1111.54</v>
      </c>
      <c r="AX242" s="170">
        <f t="shared" si="20"/>
        <v>979.54000000000008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555" priority="1">
      <formula>$AH11=0</formula>
    </cfRule>
  </conditionalFormatting>
  <conditionalFormatting sqref="B8 M8 S8 AB8">
    <cfRule type="expression" dxfId="554" priority="243">
      <formula>C$9&lt;8/24</formula>
    </cfRule>
    <cfRule type="expression" dxfId="553" priority="242">
      <formula>AND(C$9&gt;=8/24,C$9&lt;14/24)</formula>
    </cfRule>
    <cfRule type="expression" dxfId="552" priority="241">
      <formula>AND(C$9&gt;=14/24,C$9&lt;20/24)</formula>
    </cfRule>
  </conditionalFormatting>
  <conditionalFormatting sqref="B52:P60 Y54:AF60 Q57:X60">
    <cfRule type="expression" dxfId="547" priority="28">
      <formula>B52&gt;$AG52</formula>
    </cfRule>
  </conditionalFormatting>
  <conditionalFormatting sqref="B54:P60 Y54:AF60 Q57:X60">
    <cfRule type="expression" dxfId="546" priority="32">
      <formula>B$9&lt;8/24</formula>
    </cfRule>
    <cfRule type="expression" dxfId="545" priority="31">
      <formula>AND(B$9&gt;=8/24,B$9&lt;14/24)</formula>
    </cfRule>
    <cfRule type="expression" dxfId="544" priority="30">
      <formula>AND(B$9&gt;=14/24,B$9&lt;20/24)</formula>
    </cfRule>
    <cfRule type="expression" dxfId="543" priority="29">
      <formula>B$9&gt;=20/24</formula>
    </cfRule>
  </conditionalFormatting>
  <conditionalFormatting sqref="B49:V51">
    <cfRule type="expression" dxfId="542" priority="93">
      <formula>AND(B$9&gt;=14/24,B$9&lt;20/24)</formula>
    </cfRule>
    <cfRule type="expression" dxfId="541" priority="92">
      <formula>B$9&gt;=20/24</formula>
    </cfRule>
    <cfRule type="expression" dxfId="540" priority="91">
      <formula>B49&gt;$AG49</formula>
    </cfRule>
    <cfRule type="expression" dxfId="539" priority="95">
      <formula>B$9&lt;8/24</formula>
    </cfRule>
    <cfRule type="expression" dxfId="538" priority="94">
      <formula>AND(B$9&gt;=8/24,B$9&lt;14/24)</formula>
    </cfRule>
  </conditionalFormatting>
  <conditionalFormatting sqref="B11:X11">
    <cfRule type="expression" dxfId="537" priority="25">
      <formula>AND(B$9&gt;=8/24,B$9&lt;14/24)</formula>
    </cfRule>
    <cfRule type="expression" dxfId="536" priority="26">
      <formula>B$9&lt;8/24</formula>
    </cfRule>
    <cfRule type="expression" dxfId="535" priority="23">
      <formula>B$9&gt;=20/24</formula>
    </cfRule>
    <cfRule type="expression" dxfId="534" priority="24">
      <formula>AND(B$9&gt;=14/24,B$9&lt;20/24)</formula>
    </cfRule>
  </conditionalFormatting>
  <conditionalFormatting sqref="B12:X14">
    <cfRule type="expression" dxfId="533" priority="19">
      <formula>AND(B$9&gt;=14/24,B$9&lt;20/24)</formula>
    </cfRule>
    <cfRule type="expression" dxfId="532" priority="20">
      <formula>AND(B$9&gt;=8/24,B$9&lt;14/24)</formula>
    </cfRule>
    <cfRule type="expression" dxfId="531" priority="21">
      <formula>B$9&lt;8/24</formula>
    </cfRule>
    <cfRule type="expression" dxfId="530" priority="18">
      <formula>B$9&gt;=20/24</formula>
    </cfRule>
  </conditionalFormatting>
  <conditionalFormatting sqref="B15:X40">
    <cfRule type="expression" dxfId="529" priority="112">
      <formula>B$9&lt;8/24</formula>
    </cfRule>
    <cfRule type="expression" dxfId="528" priority="111">
      <formula>AND(B$9&gt;=8/24,B$9&lt;14/24)</formula>
    </cfRule>
    <cfRule type="expression" dxfId="527" priority="110">
      <formula>AND(B$9&gt;=14/24,B$9&lt;20/24)</formula>
    </cfRule>
    <cfRule type="expression" dxfId="526" priority="109">
      <formula>B$9&gt;=20/24</formula>
    </cfRule>
  </conditionalFormatting>
  <conditionalFormatting sqref="B41:X41">
    <cfRule type="expression" dxfId="525" priority="14">
      <formula>B$9&gt;=20/24</formula>
    </cfRule>
    <cfRule type="expression" dxfId="524" priority="15">
      <formula>AND(B$9&gt;=14/24,B$9&lt;20/24)</formula>
    </cfRule>
    <cfRule type="expression" dxfId="523" priority="16">
      <formula>AND(B$9&gt;=8/24,B$9&lt;14/24)</formula>
    </cfRule>
    <cfRule type="expression" dxfId="522" priority="17">
      <formula>B$9&lt;8/24</formula>
    </cfRule>
  </conditionalFormatting>
  <conditionalFormatting sqref="B42:X42">
    <cfRule type="expression" dxfId="521" priority="74">
      <formula>AND(B$9&gt;=14/24,B$9&lt;20/24)</formula>
    </cfRule>
    <cfRule type="expression" dxfId="520" priority="73">
      <formula>B$9&gt;=20/24</formula>
    </cfRule>
    <cfRule type="expression" dxfId="519" priority="76">
      <formula>B$9&lt;8/24</formula>
    </cfRule>
    <cfRule type="expression" dxfId="518" priority="75">
      <formula>AND(B$9&gt;=8/24,B$9&lt;14/24)</formula>
    </cfRule>
  </conditionalFormatting>
  <conditionalFormatting sqref="B9:AF10 B220:AF220 D222:AF223 B222:B228 D224:H224 J224:AF224 D225:AF228 U241:AF241">
    <cfRule type="expression" dxfId="517" priority="237">
      <formula>B$9&lt;8/24</formula>
    </cfRule>
    <cfRule type="expression" dxfId="516" priority="234">
      <formula>B$9&gt;=20/24</formula>
    </cfRule>
    <cfRule type="expression" dxfId="515" priority="235">
      <formula>AND(B$9&gt;=14/24,B$9&lt;20/24)</formula>
    </cfRule>
    <cfRule type="expression" dxfId="514" priority="236">
      <formula>AND(B$9&gt;=8/24,B$9&lt;14/24)</formula>
    </cfRule>
  </conditionalFormatting>
  <conditionalFormatting sqref="B11:AF48">
    <cfRule type="expression" dxfId="513" priority="22">
      <formula>B11&gt;$AG11</formula>
    </cfRule>
  </conditionalFormatting>
  <conditionalFormatting sqref="B43:AF43">
    <cfRule type="expression" dxfId="512" priority="108">
      <formula>B$9&lt;8/24</formula>
    </cfRule>
    <cfRule type="expression" dxfId="511" priority="107">
      <formula>AND(B$9&gt;=8/24,B$9&lt;14/24)</formula>
    </cfRule>
    <cfRule type="expression" dxfId="510" priority="106">
      <formula>AND(B$9&gt;=14/24,B$9&lt;20/24)</formula>
    </cfRule>
    <cfRule type="expression" dxfId="509" priority="105">
      <formula>B$9&gt;=20/24</formula>
    </cfRule>
  </conditionalFormatting>
  <conditionalFormatting sqref="B45:AF48">
    <cfRule type="expression" dxfId="508" priority="53">
      <formula>B$9&lt;8/24</formula>
    </cfRule>
    <cfRule type="expression" dxfId="507" priority="50">
      <formula>B$9&gt;=20/24</formula>
    </cfRule>
    <cfRule type="expression" dxfId="506" priority="51">
      <formula>AND(B$9&gt;=14/24,B$9&lt;20/24)</formula>
    </cfRule>
    <cfRule type="expression" dxfId="505" priority="52">
      <formula>AND(B$9&gt;=8/24,B$9&lt;14/24)</formula>
    </cfRule>
  </conditionalFormatting>
  <conditionalFormatting sqref="B61:AF66">
    <cfRule type="expression" dxfId="504" priority="67">
      <formula>B61&gt;$AG61</formula>
    </cfRule>
  </conditionalFormatting>
  <conditionalFormatting sqref="B63:AF72">
    <cfRule type="expression" dxfId="503" priority="69">
      <formula>AND(B$9&gt;=14/24,B$9&lt;20/24)</formula>
    </cfRule>
    <cfRule type="expression" dxfId="502" priority="70">
      <formula>AND(B$9&gt;=8/24,B$9&lt;14/24)</formula>
    </cfRule>
    <cfRule type="expression" dxfId="501" priority="71">
      <formula>B$9&lt;8/24</formula>
    </cfRule>
    <cfRule type="expression" dxfId="500" priority="68">
      <formula>B$9&gt;=20/24</formula>
    </cfRule>
  </conditionalFormatting>
  <conditionalFormatting sqref="B73:AF85">
    <cfRule type="expression" dxfId="499" priority="11">
      <formula>AND(B$9&gt;=14/24,B$9&lt;20/24)</formula>
    </cfRule>
    <cfRule type="expression" dxfId="498" priority="10">
      <formula>B$9&gt;=20/24</formula>
    </cfRule>
    <cfRule type="expression" dxfId="497" priority="12">
      <formula>AND(B$9&gt;=8/24,B$9&lt;14/24)</formula>
    </cfRule>
    <cfRule type="expression" dxfId="496" priority="13">
      <formula>B$9&lt;8/24</formula>
    </cfRule>
  </conditionalFormatting>
  <conditionalFormatting sqref="B87:AF103">
    <cfRule type="expression" dxfId="491" priority="45">
      <formula>B$9&gt;=20/24</formula>
    </cfRule>
    <cfRule type="expression" dxfId="490" priority="47">
      <formula>AND(B$9&gt;=8/24,B$9&lt;14/24)</formula>
    </cfRule>
    <cfRule type="expression" dxfId="489" priority="48">
      <formula>B$9&lt;8/24</formula>
    </cfRule>
    <cfRule type="expression" dxfId="488" priority="46">
      <formula>AND(B$9&gt;=14/24,B$9&lt;20/24)</formula>
    </cfRule>
  </conditionalFormatting>
  <conditionalFormatting sqref="B105:AF112">
    <cfRule type="expression" dxfId="487" priority="33">
      <formula>B$9&gt;=20/24</formula>
    </cfRule>
    <cfRule type="expression" dxfId="486" priority="34">
      <formula>AND(B$9&gt;=14/24,B$9&lt;20/24)</formula>
    </cfRule>
    <cfRule type="expression" dxfId="485" priority="36">
      <formula>B$9&lt;8/24</formula>
    </cfRule>
    <cfRule type="expression" dxfId="484" priority="35">
      <formula>AND(B$9&gt;=8/24,B$9&lt;14/24)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79" priority="240">
      <formula>C$9&gt;=20/24</formula>
    </cfRule>
  </conditionalFormatting>
  <conditionalFormatting sqref="S8">
    <cfRule type="expression" dxfId="478" priority="214">
      <formula>AND(U$9&gt;=14/24,U$9&lt;20/24)</formula>
    </cfRule>
    <cfRule type="expression" dxfId="477" priority="215">
      <formula>AND(U$9&gt;=8/24,U$9&lt;14/24)</formula>
    </cfRule>
    <cfRule type="expression" dxfId="476" priority="216">
      <formula>U$9&lt;8/24</formula>
    </cfRule>
    <cfRule type="expression" dxfId="475" priority="213">
      <formula>U$9&gt;=20/24</formula>
    </cfRule>
  </conditionalFormatting>
  <conditionalFormatting sqref="T241">
    <cfRule type="expression" dxfId="474" priority="253">
      <formula>AX$9&gt;=20/24</formula>
    </cfRule>
    <cfRule type="expression" dxfId="473" priority="254">
      <formula>AND(AX$9&gt;=14/24,AX$9&lt;20/24)</formula>
    </cfRule>
    <cfRule type="expression" dxfId="472" priority="255">
      <formula>AND(AX$9&gt;=8/24,AX$9&lt;14/24)</formula>
    </cfRule>
    <cfRule type="expression" dxfId="471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49:AB51 W49:X53 S52:V53">
    <cfRule type="expression" dxfId="470" priority="191">
      <formula>AND(S$9&gt;=14/24,S$9&lt;20/24)</formula>
    </cfRule>
    <cfRule type="expression" dxfId="469" priority="193">
      <formula>S$9&lt;8/24</formula>
    </cfRule>
    <cfRule type="expression" dxfId="468" priority="189">
      <formula>S49&gt;$AG49</formula>
    </cfRule>
    <cfRule type="expression" dxfId="467" priority="192">
      <formula>AND(S$9&gt;=8/24,S$9&lt;14/24)</formula>
    </cfRule>
    <cfRule type="expression" dxfId="466" priority="190">
      <formula>S$9&gt;=20/24</formula>
    </cfRule>
  </conditionalFormatting>
  <conditionalFormatting sqref="Y11:AF42">
    <cfRule type="expression" dxfId="465" priority="177">
      <formula>AND(Y$9&gt;=14/24,Y$9&lt;20/24)</formula>
    </cfRule>
    <cfRule type="expression" dxfId="464" priority="176">
      <formula>Y$9&gt;=20/24</formula>
    </cfRule>
    <cfRule type="expression" dxfId="463" priority="179">
      <formula>Y$9&lt;8/24</formula>
    </cfRule>
    <cfRule type="expression" dxfId="462" priority="178">
      <formula>AND(Y$9&gt;=8/24,Y$9&lt;14/24)</formula>
    </cfRule>
  </conditionalFormatting>
  <conditionalFormatting sqref="AB8">
    <cfRule type="expression" dxfId="461" priority="210">
      <formula>AND(AD$9&gt;=14/24,AD$9&lt;20/24)</formula>
    </cfRule>
    <cfRule type="expression" dxfId="460" priority="209">
      <formula>AD$9&gt;=20/24</formula>
    </cfRule>
    <cfRule type="expression" dxfId="459" priority="211">
      <formula>AND(AD$9&gt;=8/24,AD$9&lt;14/24)</formula>
    </cfRule>
    <cfRule type="expression" dxfId="458" priority="212">
      <formula>AD$9&lt;8/24</formula>
    </cfRule>
  </conditionalFormatting>
  <conditionalFormatting sqref="AC50:AD51 AE50:AF53 Y52:AD53 Q52:R56 S54:X56">
    <cfRule type="expression" dxfId="457" priority="207">
      <formula>Q$9&lt;8/24</formula>
    </cfRule>
    <cfRule type="expression" dxfId="456" priority="206">
      <formula>AND(Q$9&gt;=8/24,Q$9&lt;14/24)</formula>
    </cfRule>
    <cfRule type="expression" dxfId="455" priority="205">
      <formula>AND(Q$9&gt;=14/24,Q$9&lt;20/24)</formula>
    </cfRule>
    <cfRule type="expression" dxfId="454" priority="204">
      <formula>Q$9&gt;=20/24</formula>
    </cfRule>
  </conditionalFormatting>
  <conditionalFormatting sqref="AC49:AF49 AC50:AD51 AE50:AF53 Y52:AD53 Q52:R56 S54:X56">
    <cfRule type="expression" dxfId="453" priority="199">
      <formula>Q49&gt;$AG49</formula>
    </cfRule>
  </conditionalFormatting>
  <conditionalFormatting sqref="AC49:AF49">
    <cfRule type="expression" dxfId="452" priority="201">
      <formula>AND(AC$9&gt;=14/24,AC$9&lt;20/24)</formula>
    </cfRule>
    <cfRule type="expression" dxfId="451" priority="200">
      <formula>AC$9&gt;=20/24</formula>
    </cfRule>
    <cfRule type="expression" dxfId="450" priority="202">
      <formula>AND(AC$9&gt;=8/24,AC$9&lt;14/24)</formula>
    </cfRule>
    <cfRule type="expression" dxfId="449" priority="203">
      <formula>AC$9&lt;8/24</formula>
    </cfRule>
  </conditionalFormatting>
  <conditionalFormatting sqref="AG44 AG61:AG62 AG66">
    <cfRule type="expression" dxfId="448" priority="166">
      <formula>AG44&gt;$AG44</formula>
    </cfRule>
  </conditionalFormatting>
  <conditionalFormatting sqref="AG48">
    <cfRule type="expression" dxfId="447" priority="146">
      <formula>AG48&gt;$AG48</formula>
    </cfRule>
    <cfRule type="expression" dxfId="446" priority="150">
      <formula>AG$9&lt;8/24</formula>
    </cfRule>
    <cfRule type="expression" dxfId="445" priority="149">
      <formula>AND(AG$9&gt;=8/24,AG$9&lt;14/24)</formula>
    </cfRule>
    <cfRule type="expression" dxfId="444" priority="148">
      <formula>AND(AG$9&gt;=14/24,AG$9&lt;20/24)</formula>
    </cfRule>
    <cfRule type="expression" dxfId="443" priority="147">
      <formula>AG$9&gt;=20/24</formula>
    </cfRule>
  </conditionalFormatting>
  <conditionalFormatting sqref="AG66 AG83">
    <cfRule type="expression" dxfId="442" priority="170">
      <formula>AG$9&lt;8/24</formula>
    </cfRule>
    <cfRule type="expression" dxfId="441" priority="169">
      <formula>AND(AG$9&gt;=8/24,AG$9&lt;14/24)</formula>
    </cfRule>
    <cfRule type="expression" dxfId="440" priority="167">
      <formula>AG$9&gt;=20/24</formula>
    </cfRule>
    <cfRule type="expression" dxfId="439" priority="168">
      <formula>AND(AG$9&gt;=14/24,AG$9&lt;20/24)</formula>
    </cfRule>
  </conditionalFormatting>
  <conditionalFormatting sqref="AG241">
    <cfRule type="expression" dxfId="438" priority="245">
      <formula>B$9&gt;=20/24</formula>
    </cfRule>
    <cfRule type="expression" dxfId="437" priority="246">
      <formula>AND(B$9&gt;=14/24,B$9&lt;20/24)</formula>
    </cfRule>
    <cfRule type="expression" dxfId="436" priority="247">
      <formula>AND(B$9&gt;=8/24,B$9&lt;14/24)</formula>
    </cfRule>
    <cfRule type="expression" dxfId="435" priority="248">
      <formula>B$9&lt;8/24</formula>
    </cfRule>
  </conditionalFormatting>
  <conditionalFormatting sqref="AH241:AX241">
    <cfRule type="expression" dxfId="434" priority="249">
      <formula>AG$9&gt;=20/24</formula>
    </cfRule>
    <cfRule type="expression" dxfId="433" priority="250">
      <formula>AND(AG$9&gt;=14/24,AG$9&lt;20/24)</formula>
    </cfRule>
    <cfRule type="expression" dxfId="432" priority="251">
      <formula>AND(AG$9&gt;=8/24,AG$9&lt;14/24)</formula>
    </cfRule>
    <cfRule type="expression" dxfId="431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430" priority="261">
      <formula>AJ$9&lt;8/24</formula>
    </cfRule>
    <cfRule type="expression" dxfId="429" priority="258">
      <formula>AJ$9&gt;=20/24</formula>
    </cfRule>
    <cfRule type="expression" dxfId="428" priority="259">
      <formula>AND(AJ$9&gt;=14/24,AJ$9&lt;20/24)</formula>
    </cfRule>
    <cfRule type="expression" dxfId="427" priority="260">
      <formula>AND(AJ$9&gt;=8/24,AJ$9&lt;14/24)</formula>
    </cfRule>
  </conditionalFormatting>
  <conditionalFormatting sqref="AL74:AN74 AL80:AN80">
    <cfRule type="expression" dxfId="426" priority="9">
      <formula>AL$9&lt;8/24</formula>
    </cfRule>
    <cfRule type="expression" dxfId="425" priority="8">
      <formula>AND(AL$9&gt;=8/24,AL$9&lt;14/24)</formula>
    </cfRule>
    <cfRule type="expression" dxfId="424" priority="7">
      <formula>AND(AL$9&gt;=14/24,AL$9&lt;20/24)</formula>
    </cfRule>
    <cfRule type="expression" dxfId="423" priority="6">
      <formula>AL$9&gt;=20/24</formula>
    </cfRule>
  </conditionalFormatting>
  <conditionalFormatting sqref="AN75:AN78">
    <cfRule type="expression" dxfId="422" priority="5">
      <formula>AN$9&lt;8/24</formula>
    </cfRule>
    <cfRule type="expression" dxfId="421" priority="4">
      <formula>AND(AN$9&gt;=8/24,AN$9&lt;14/24)</formula>
    </cfRule>
    <cfRule type="expression" dxfId="420" priority="3">
      <formula>AND(AN$9&gt;=14/24,AN$9&lt;20/24)</formula>
    </cfRule>
    <cfRule type="expression" dxfId="419" priority="2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5067AF22-3E0F-4DA3-8EB4-EC4AF439121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1A207F31-17E9-4335-8C29-D25A2E4DA8A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E51A258E-84FC-4E59-B0AD-CCCD5785EFF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06E7A7EA-8183-4EC4-A6FB-DDD85EB19A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4" id="{280BB6FC-6A12-48D3-9E06-0ACE9D3DB86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" id="{6C1D3D40-7E87-4A02-B5F8-71967623F3D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" id="{6C8E2C07-B46B-40FB-BBD9-B51A3892991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" id="{BF40156D-8290-4315-92A5-8D6AF13A4D0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7" id="{46062B00-314B-468F-B1AD-D55CA4BEE42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19C01DD6-CC26-4AC4-AB92-00F0F26F252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5" id="{464B86F6-8D47-44E5-BF1C-6F728898812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4BF6C65D-0BF7-4AD4-A19D-3B934B85EAA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4"/>
  <sheetViews>
    <sheetView zoomScaleNormal="100" workbookViewId="0">
      <pane ySplit="10" topLeftCell="A47" activePane="bottomLeft" state="frozen"/>
      <selection activeCell="Z85" sqref="Z85"/>
      <selection pane="bottomLeft" activeCell="P69" sqref="P69:S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2079/11/6</v>
      </c>
      <c r="C4" s="208"/>
      <c r="D4" s="208"/>
      <c r="E4" s="209" t="str">
        <f ca="1">"2079/"&amp;"11/"&amp;INT(MID(CELL("filename",G6),FIND("]",CELL("filename",G6))+1,200))</f>
        <v>2079/11/6</v>
      </c>
      <c r="F4" s="209"/>
      <c r="G4" s="209"/>
      <c r="H4" s="209" t="str">
        <f ca="1">TEXT(E4,"dddd")</f>
        <v>Monday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441</v>
      </c>
      <c r="C5" s="30">
        <f t="shared" si="0"/>
        <v>421</v>
      </c>
      <c r="D5" s="30">
        <f t="shared" si="0"/>
        <v>418</v>
      </c>
      <c r="E5" s="30">
        <f t="shared" si="0"/>
        <v>414.5</v>
      </c>
      <c r="F5" s="30">
        <f t="shared" si="0"/>
        <v>431</v>
      </c>
      <c r="G5" s="30">
        <f t="shared" si="0"/>
        <v>423.4</v>
      </c>
      <c r="H5" s="30">
        <f t="shared" si="0"/>
        <v>485</v>
      </c>
      <c r="I5" s="30">
        <f t="shared" si="0"/>
        <v>228.05</v>
      </c>
      <c r="J5" s="30">
        <f t="shared" si="0"/>
        <v>209.5</v>
      </c>
      <c r="K5" s="30">
        <f t="shared" si="0"/>
        <v>180.9</v>
      </c>
      <c r="L5" s="30">
        <f t="shared" si="0"/>
        <v>200.6</v>
      </c>
      <c r="M5" s="30">
        <f t="shared" si="0"/>
        <v>226.2</v>
      </c>
      <c r="N5" s="30">
        <f t="shared" si="0"/>
        <v>234.3</v>
      </c>
      <c r="O5" s="30">
        <f t="shared" si="0"/>
        <v>312</v>
      </c>
      <c r="P5" s="30">
        <f t="shared" si="0"/>
        <v>429.4</v>
      </c>
      <c r="Q5" s="30">
        <f t="shared" si="0"/>
        <v>390.3</v>
      </c>
      <c r="R5" s="30">
        <f t="shared" si="0"/>
        <v>446.7</v>
      </c>
      <c r="S5" s="30">
        <f t="shared" si="0"/>
        <v>451.7</v>
      </c>
      <c r="T5" s="30">
        <f t="shared" si="0"/>
        <v>447.1</v>
      </c>
      <c r="U5" s="30">
        <f t="shared" si="0"/>
        <v>379.90000000000003</v>
      </c>
      <c r="V5" s="30">
        <f t="shared" si="0"/>
        <v>392.2</v>
      </c>
      <c r="W5" s="30">
        <f t="shared" si="0"/>
        <v>357.3</v>
      </c>
      <c r="X5" s="30">
        <f t="shared" si="0"/>
        <v>259.10000000000002</v>
      </c>
      <c r="Y5" s="30">
        <f t="shared" si="0"/>
        <v>139.60000000000002</v>
      </c>
      <c r="Z5" s="30">
        <f t="shared" si="0"/>
        <v>128.19999999999999</v>
      </c>
      <c r="AA5" s="30">
        <f t="shared" si="0"/>
        <v>234.2</v>
      </c>
      <c r="AB5" s="30">
        <f t="shared" si="0"/>
        <v>287.3</v>
      </c>
      <c r="AC5" s="30">
        <f t="shared" si="0"/>
        <v>288.7</v>
      </c>
      <c r="AD5" s="30">
        <f t="shared" si="0"/>
        <v>474.7</v>
      </c>
      <c r="AE5" s="30">
        <f t="shared" si="0"/>
        <v>389.5</v>
      </c>
      <c r="AF5" s="30">
        <f>B78</f>
        <v>431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1388MW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Load=908</v>
      </c>
      <c r="B7" s="35">
        <f t="shared" ref="B7:AF7" si="1">B85</f>
        <v>951.54000000000008</v>
      </c>
      <c r="C7" s="35">
        <f t="shared" si="1"/>
        <v>961.54000000000008</v>
      </c>
      <c r="D7" s="35">
        <f t="shared" si="1"/>
        <v>941.54000000000008</v>
      </c>
      <c r="E7" s="35">
        <f t="shared" si="1"/>
        <v>916.44</v>
      </c>
      <c r="F7" s="35">
        <f t="shared" si="1"/>
        <v>942.34</v>
      </c>
      <c r="G7" s="35">
        <f t="shared" si="1"/>
        <v>1014.44</v>
      </c>
      <c r="H7" s="35">
        <f t="shared" si="1"/>
        <v>1045.24</v>
      </c>
      <c r="I7" s="35">
        <f t="shared" si="1"/>
        <v>1123.94</v>
      </c>
      <c r="J7" s="35">
        <f t="shared" si="1"/>
        <v>1206.99</v>
      </c>
      <c r="K7" s="35">
        <f t="shared" si="1"/>
        <v>1249.04</v>
      </c>
      <c r="L7" s="35">
        <f t="shared" si="1"/>
        <v>1380.74</v>
      </c>
      <c r="M7" s="35">
        <f t="shared" si="1"/>
        <v>1388.1399999999999</v>
      </c>
      <c r="N7" s="35">
        <f>N85</f>
        <v>1318.3400000000001</v>
      </c>
      <c r="O7" s="35">
        <f t="shared" si="1"/>
        <v>1183.74</v>
      </c>
      <c r="P7" s="35">
        <f t="shared" si="1"/>
        <v>1130.44</v>
      </c>
      <c r="Q7" s="35">
        <f t="shared" si="1"/>
        <v>1096.1399999999999</v>
      </c>
      <c r="R7" s="35">
        <f t="shared" si="1"/>
        <v>1051.94</v>
      </c>
      <c r="S7" s="35">
        <f t="shared" si="1"/>
        <v>1059.54</v>
      </c>
      <c r="T7" s="35">
        <f t="shared" si="1"/>
        <v>1072.94</v>
      </c>
      <c r="U7" s="35">
        <f t="shared" si="1"/>
        <v>1065.3400000000001</v>
      </c>
      <c r="V7" s="35">
        <f t="shared" si="1"/>
        <v>1058.94</v>
      </c>
      <c r="W7" s="35">
        <f t="shared" si="1"/>
        <v>1094.04</v>
      </c>
      <c r="X7" s="35">
        <f t="shared" si="1"/>
        <v>1176.54</v>
      </c>
      <c r="Y7" s="35">
        <f t="shared" si="1"/>
        <v>1333.7400000000002</v>
      </c>
      <c r="Z7" s="35">
        <f t="shared" si="1"/>
        <v>1301.7399999999998</v>
      </c>
      <c r="AA7" s="35">
        <f t="shared" si="1"/>
        <v>1240.8399999999999</v>
      </c>
      <c r="AB7" s="35">
        <f t="shared" si="1"/>
        <v>1171.74</v>
      </c>
      <c r="AC7" s="35">
        <f t="shared" si="1"/>
        <v>1140.44</v>
      </c>
      <c r="AD7" s="35">
        <f t="shared" si="1"/>
        <v>1052.1400000000001</v>
      </c>
      <c r="AE7" s="35">
        <f t="shared" si="1"/>
        <v>998.24</v>
      </c>
      <c r="AF7" s="35">
        <f t="shared" si="1"/>
        <v>908.44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</v>
      </c>
      <c r="C11" s="45">
        <v>17</v>
      </c>
      <c r="D11" s="45">
        <v>17</v>
      </c>
      <c r="E11" s="45">
        <v>17</v>
      </c>
      <c r="F11" s="45">
        <v>17</v>
      </c>
      <c r="G11" s="45">
        <v>17</v>
      </c>
      <c r="H11" s="45">
        <v>17</v>
      </c>
      <c r="I11" s="45">
        <v>17</v>
      </c>
      <c r="J11" s="45">
        <v>17</v>
      </c>
      <c r="K11" s="45">
        <v>17</v>
      </c>
      <c r="L11" s="45">
        <v>17</v>
      </c>
      <c r="M11" s="45">
        <v>17</v>
      </c>
      <c r="N11" s="45">
        <v>17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17</v>
      </c>
      <c r="Y11" s="45">
        <v>17</v>
      </c>
      <c r="Z11" s="45">
        <v>17</v>
      </c>
      <c r="AA11" s="45">
        <v>17</v>
      </c>
      <c r="AB11" s="45">
        <v>17</v>
      </c>
      <c r="AC11" s="45">
        <v>17</v>
      </c>
      <c r="AD11" s="45">
        <v>17</v>
      </c>
      <c r="AE11" s="45">
        <v>17</v>
      </c>
      <c r="AF11" s="45">
        <v>17</v>
      </c>
      <c r="AG11" s="46">
        <v>52.4</v>
      </c>
      <c r="AH11" s="47">
        <f t="shared" ref="AH11:AH74" si="2">MAX(B11:AF11)</f>
        <v>17</v>
      </c>
      <c r="AI11" s="48">
        <f t="shared" ref="AI11:AI74" si="3">MIN(B11:AF11)</f>
        <v>17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30.5</v>
      </c>
      <c r="C12" s="45">
        <v>30.5</v>
      </c>
      <c r="D12" s="45">
        <v>30.5</v>
      </c>
      <c r="E12" s="45">
        <v>30.5</v>
      </c>
      <c r="F12" s="45">
        <v>30.5</v>
      </c>
      <c r="G12" s="45">
        <v>30.5</v>
      </c>
      <c r="H12" s="45">
        <v>30.5</v>
      </c>
      <c r="I12" s="45">
        <v>30.5</v>
      </c>
      <c r="J12" s="45">
        <v>30.5</v>
      </c>
      <c r="K12" s="45">
        <v>30.5</v>
      </c>
      <c r="L12" s="45">
        <v>30.5</v>
      </c>
      <c r="M12" s="45">
        <v>30.5</v>
      </c>
      <c r="N12" s="45">
        <v>30.5</v>
      </c>
      <c r="O12" s="45">
        <v>30.5</v>
      </c>
      <c r="P12" s="45">
        <v>30.5</v>
      </c>
      <c r="Q12" s="45">
        <v>30.5</v>
      </c>
      <c r="R12" s="45">
        <v>30.5</v>
      </c>
      <c r="S12" s="45">
        <v>30.5</v>
      </c>
      <c r="T12" s="45">
        <v>30.5</v>
      </c>
      <c r="U12" s="45">
        <v>30.5</v>
      </c>
      <c r="V12" s="45">
        <v>30.5</v>
      </c>
      <c r="W12" s="45">
        <v>30.5</v>
      </c>
      <c r="X12" s="45">
        <v>30.5</v>
      </c>
      <c r="Y12" s="45">
        <v>30.5</v>
      </c>
      <c r="Z12" s="45">
        <v>30.5</v>
      </c>
      <c r="AA12" s="45">
        <v>30.5</v>
      </c>
      <c r="AB12" s="45">
        <v>30.5</v>
      </c>
      <c r="AC12" s="45">
        <v>30.5</v>
      </c>
      <c r="AD12" s="45">
        <v>30.5</v>
      </c>
      <c r="AE12" s="45">
        <v>30.5</v>
      </c>
      <c r="AF12" s="45">
        <v>30.5</v>
      </c>
      <c r="AG12" s="50">
        <v>50</v>
      </c>
      <c r="AH12" s="47">
        <f t="shared" si="2"/>
        <v>30.5</v>
      </c>
      <c r="AI12" s="48">
        <f t="shared" si="3"/>
        <v>30.5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15.6</v>
      </c>
      <c r="C13" s="45">
        <v>15.6</v>
      </c>
      <c r="D13" s="45">
        <v>15.6</v>
      </c>
      <c r="E13" s="45">
        <v>15.6</v>
      </c>
      <c r="F13" s="45">
        <v>15.6</v>
      </c>
      <c r="G13" s="45">
        <v>15.6</v>
      </c>
      <c r="H13" s="45">
        <v>15.6</v>
      </c>
      <c r="I13" s="45">
        <v>15.6</v>
      </c>
      <c r="J13" s="45">
        <v>15.6</v>
      </c>
      <c r="K13" s="45">
        <v>15.6</v>
      </c>
      <c r="L13" s="45">
        <v>15.6</v>
      </c>
      <c r="M13" s="45">
        <v>15.6</v>
      </c>
      <c r="N13" s="45">
        <v>15.6</v>
      </c>
      <c r="O13" s="45">
        <v>15.6</v>
      </c>
      <c r="P13" s="45">
        <v>15.6</v>
      </c>
      <c r="Q13" s="45">
        <v>15.6</v>
      </c>
      <c r="R13" s="45">
        <v>15.6</v>
      </c>
      <c r="S13" s="45">
        <v>15.6</v>
      </c>
      <c r="T13" s="45">
        <v>15.6</v>
      </c>
      <c r="U13" s="45">
        <v>15.6</v>
      </c>
      <c r="V13" s="45">
        <v>15.6</v>
      </c>
      <c r="W13" s="45">
        <v>15.6</v>
      </c>
      <c r="X13" s="45">
        <v>15.6</v>
      </c>
      <c r="Y13" s="45">
        <v>15.6</v>
      </c>
      <c r="Z13" s="45">
        <v>15.6</v>
      </c>
      <c r="AA13" s="45">
        <v>15.6</v>
      </c>
      <c r="AB13" s="45">
        <v>15.6</v>
      </c>
      <c r="AC13" s="45">
        <v>15.6</v>
      </c>
      <c r="AD13" s="45">
        <v>15.6</v>
      </c>
      <c r="AE13" s="45">
        <v>15.6</v>
      </c>
      <c r="AF13" s="45">
        <v>15.6</v>
      </c>
      <c r="AG13" s="50">
        <v>45</v>
      </c>
      <c r="AH13" s="47">
        <f t="shared" si="2"/>
        <v>15.6</v>
      </c>
      <c r="AI13" s="48">
        <f t="shared" si="3"/>
        <v>15.6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9.5</v>
      </c>
      <c r="R14" s="45">
        <v>9.5</v>
      </c>
      <c r="S14" s="45">
        <v>9.5</v>
      </c>
      <c r="T14" s="45">
        <v>9.5</v>
      </c>
      <c r="U14" s="45">
        <v>9.5</v>
      </c>
      <c r="V14" s="45">
        <v>9.5</v>
      </c>
      <c r="W14" s="45">
        <v>9.5</v>
      </c>
      <c r="X14" s="45">
        <v>9.5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9.5</v>
      </c>
      <c r="AI14" s="48">
        <f t="shared" si="3"/>
        <v>9.5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7.9</v>
      </c>
      <c r="C16" s="45">
        <v>7.9</v>
      </c>
      <c r="D16" s="45">
        <v>7.9</v>
      </c>
      <c r="E16" s="45">
        <v>7.9</v>
      </c>
      <c r="F16" s="45">
        <v>7.9</v>
      </c>
      <c r="G16" s="45">
        <v>7.9</v>
      </c>
      <c r="H16" s="45">
        <v>7.9</v>
      </c>
      <c r="I16" s="45">
        <v>7.9</v>
      </c>
      <c r="J16" s="45">
        <v>7.9</v>
      </c>
      <c r="K16" s="45">
        <v>7.9</v>
      </c>
      <c r="L16" s="45">
        <v>7.9</v>
      </c>
      <c r="M16" s="45">
        <v>7.9</v>
      </c>
      <c r="N16" s="45">
        <v>7.9</v>
      </c>
      <c r="O16" s="45">
        <v>7.9</v>
      </c>
      <c r="P16" s="45">
        <v>7.9</v>
      </c>
      <c r="Q16" s="45">
        <v>7.9</v>
      </c>
      <c r="R16" s="45">
        <v>7.9</v>
      </c>
      <c r="S16" s="45">
        <v>7.9</v>
      </c>
      <c r="T16" s="45">
        <v>7.9</v>
      </c>
      <c r="U16" s="45">
        <v>7.9</v>
      </c>
      <c r="V16" s="45">
        <v>7.9</v>
      </c>
      <c r="W16" s="45">
        <v>7.9</v>
      </c>
      <c r="X16" s="45">
        <v>7.9</v>
      </c>
      <c r="Y16" s="45">
        <v>7.9</v>
      </c>
      <c r="Z16" s="45">
        <v>7.9</v>
      </c>
      <c r="AA16" s="45">
        <v>7.9</v>
      </c>
      <c r="AB16" s="45">
        <v>7.9</v>
      </c>
      <c r="AC16" s="45">
        <v>7.9</v>
      </c>
      <c r="AD16" s="45">
        <v>7.9</v>
      </c>
      <c r="AE16" s="45">
        <v>7.9</v>
      </c>
      <c r="AF16" s="45">
        <v>7.9</v>
      </c>
      <c r="AG16" s="51">
        <v>30</v>
      </c>
      <c r="AH16" s="47">
        <f t="shared" si="2"/>
        <v>7.9</v>
      </c>
      <c r="AI16" s="48">
        <f t="shared" si="3"/>
        <v>7.9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</v>
      </c>
      <c r="C17" s="45">
        <v>7</v>
      </c>
      <c r="D17" s="45">
        <v>7</v>
      </c>
      <c r="E17" s="45">
        <v>7</v>
      </c>
      <c r="F17" s="45">
        <v>7</v>
      </c>
      <c r="G17" s="45">
        <v>7</v>
      </c>
      <c r="H17" s="45">
        <v>7</v>
      </c>
      <c r="I17" s="45">
        <v>7</v>
      </c>
      <c r="J17" s="45">
        <v>7</v>
      </c>
      <c r="K17" s="45">
        <v>7</v>
      </c>
      <c r="L17" s="45">
        <v>7</v>
      </c>
      <c r="M17" s="45">
        <v>7</v>
      </c>
      <c r="N17" s="45">
        <v>7</v>
      </c>
      <c r="O17" s="45">
        <v>7</v>
      </c>
      <c r="P17" s="45">
        <v>7</v>
      </c>
      <c r="Q17" s="45">
        <v>7</v>
      </c>
      <c r="R17" s="45">
        <v>7</v>
      </c>
      <c r="S17" s="45">
        <v>7</v>
      </c>
      <c r="T17" s="45">
        <v>7</v>
      </c>
      <c r="U17" s="45">
        <v>7</v>
      </c>
      <c r="V17" s="45">
        <v>7</v>
      </c>
      <c r="W17" s="45">
        <v>7</v>
      </c>
      <c r="X17" s="45">
        <v>7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50">
        <v>23.5</v>
      </c>
      <c r="AH24" s="47">
        <f t="shared" si="2"/>
        <v>7.3</v>
      </c>
      <c r="AI24" s="48">
        <f t="shared" si="3"/>
        <v>7.3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359.20000000000005</v>
      </c>
      <c r="C44" s="60">
        <f t="shared" si="4"/>
        <v>359.20000000000005</v>
      </c>
      <c r="D44" s="60">
        <f t="shared" si="4"/>
        <v>359.20000000000005</v>
      </c>
      <c r="E44" s="60">
        <f t="shared" si="4"/>
        <v>359.20000000000005</v>
      </c>
      <c r="F44" s="60">
        <f t="shared" si="4"/>
        <v>359.20000000000005</v>
      </c>
      <c r="G44" s="60">
        <f t="shared" si="4"/>
        <v>359.20000000000005</v>
      </c>
      <c r="H44" s="60">
        <f t="shared" si="4"/>
        <v>359.20000000000005</v>
      </c>
      <c r="I44" s="60">
        <f t="shared" si="4"/>
        <v>359.20000000000005</v>
      </c>
      <c r="J44" s="60">
        <f t="shared" si="4"/>
        <v>359.20000000000005</v>
      </c>
      <c r="K44" s="60">
        <f t="shared" si="4"/>
        <v>359.20000000000005</v>
      </c>
      <c r="L44" s="60">
        <f t="shared" si="4"/>
        <v>359.20000000000005</v>
      </c>
      <c r="M44" s="60">
        <f t="shared" si="4"/>
        <v>359.20000000000005</v>
      </c>
      <c r="N44" s="60">
        <f t="shared" si="4"/>
        <v>359.20000000000005</v>
      </c>
      <c r="O44" s="60">
        <f t="shared" si="4"/>
        <v>359.20000000000005</v>
      </c>
      <c r="P44" s="60">
        <f t="shared" si="4"/>
        <v>359.20000000000005</v>
      </c>
      <c r="Q44" s="60">
        <f t="shared" si="4"/>
        <v>359.20000000000005</v>
      </c>
      <c r="R44" s="60">
        <f t="shared" si="4"/>
        <v>359.20000000000005</v>
      </c>
      <c r="S44" s="60">
        <f t="shared" si="4"/>
        <v>359.20000000000005</v>
      </c>
      <c r="T44" s="60">
        <f t="shared" si="4"/>
        <v>359.20000000000005</v>
      </c>
      <c r="U44" s="60">
        <f t="shared" si="4"/>
        <v>359.20000000000005</v>
      </c>
      <c r="V44" s="60">
        <f t="shared" si="4"/>
        <v>359.20000000000005</v>
      </c>
      <c r="W44" s="60">
        <f t="shared" si="4"/>
        <v>359.20000000000005</v>
      </c>
      <c r="X44" s="60">
        <f t="shared" si="4"/>
        <v>359.20000000000005</v>
      </c>
      <c r="Y44" s="60">
        <f t="shared" si="4"/>
        <v>359.20000000000005</v>
      </c>
      <c r="Z44" s="60">
        <f t="shared" si="4"/>
        <v>359.20000000000005</v>
      </c>
      <c r="AA44" s="60">
        <f t="shared" si="4"/>
        <v>359.20000000000005</v>
      </c>
      <c r="AB44" s="60">
        <f t="shared" si="4"/>
        <v>359.20000000000005</v>
      </c>
      <c r="AC44" s="60">
        <f t="shared" si="4"/>
        <v>359.20000000000005</v>
      </c>
      <c r="AD44" s="60">
        <f t="shared" si="4"/>
        <v>359.20000000000005</v>
      </c>
      <c r="AE44" s="60">
        <f t="shared" si="4"/>
        <v>359.20000000000005</v>
      </c>
      <c r="AF44" s="60">
        <f t="shared" si="4"/>
        <v>359.20000000000005</v>
      </c>
      <c r="AG44" s="61">
        <f t="shared" si="4"/>
        <v>814.78000000000009</v>
      </c>
      <c r="AH44" s="47">
        <f t="shared" si="2"/>
        <v>359.20000000000005</v>
      </c>
      <c r="AI44" s="48">
        <f t="shared" si="3"/>
        <v>359.20000000000005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15</v>
      </c>
      <c r="I45" s="45">
        <v>15</v>
      </c>
      <c r="J45" s="45">
        <v>260</v>
      </c>
      <c r="K45" s="45">
        <v>280</v>
      </c>
      <c r="L45" s="45">
        <v>304</v>
      </c>
      <c r="M45" s="45">
        <v>304</v>
      </c>
      <c r="N45" s="45">
        <v>250</v>
      </c>
      <c r="O45" s="45">
        <v>80</v>
      </c>
      <c r="P45" s="45">
        <v>70</v>
      </c>
      <c r="Q45" s="45">
        <v>70</v>
      </c>
      <c r="R45" s="45">
        <v>90</v>
      </c>
      <c r="S45" s="45">
        <v>40</v>
      </c>
      <c r="T45" s="45">
        <v>0</v>
      </c>
      <c r="U45" s="45">
        <v>0</v>
      </c>
      <c r="V45" s="45">
        <v>0</v>
      </c>
      <c r="W45" s="45">
        <v>0</v>
      </c>
      <c r="X45" s="45">
        <v>30</v>
      </c>
      <c r="Y45" s="45">
        <v>205</v>
      </c>
      <c r="Z45" s="45">
        <v>293.7</v>
      </c>
      <c r="AA45" s="45">
        <v>245.6</v>
      </c>
      <c r="AB45" s="45">
        <v>70</v>
      </c>
      <c r="AC45" s="45">
        <v>50</v>
      </c>
      <c r="AD45" s="45">
        <v>60</v>
      </c>
      <c r="AE45" s="45">
        <v>0</v>
      </c>
      <c r="AF45" s="45">
        <v>0</v>
      </c>
      <c r="AG45" s="51">
        <v>456</v>
      </c>
      <c r="AH45" s="47">
        <f t="shared" si="2"/>
        <v>304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9.5</v>
      </c>
      <c r="C47" s="67">
        <v>9.5</v>
      </c>
      <c r="D47" s="67">
        <v>9.5</v>
      </c>
      <c r="E47" s="67">
        <v>9.5</v>
      </c>
      <c r="F47" s="67">
        <v>9.5</v>
      </c>
      <c r="G47" s="67">
        <v>9.5</v>
      </c>
      <c r="H47" s="67">
        <v>9.5</v>
      </c>
      <c r="I47" s="67">
        <v>9.5</v>
      </c>
      <c r="J47" s="67">
        <v>9.5</v>
      </c>
      <c r="K47" s="67">
        <v>9.5</v>
      </c>
      <c r="L47" s="67">
        <v>9.5</v>
      </c>
      <c r="M47" s="67">
        <v>9.5</v>
      </c>
      <c r="N47" s="67">
        <v>9.5</v>
      </c>
      <c r="O47" s="67">
        <v>9.5</v>
      </c>
      <c r="P47" s="67">
        <v>9.5</v>
      </c>
      <c r="Q47" s="67">
        <v>9.5</v>
      </c>
      <c r="R47" s="67">
        <v>9.5</v>
      </c>
      <c r="S47" s="67">
        <v>9.5</v>
      </c>
      <c r="T47" s="67">
        <v>9.6999999999999993</v>
      </c>
      <c r="U47" s="67">
        <v>9.6999999999999993</v>
      </c>
      <c r="V47" s="67">
        <v>9.6999999999999993</v>
      </c>
      <c r="W47" s="67">
        <v>9.6999999999999993</v>
      </c>
      <c r="X47" s="67">
        <v>9.6999999999999993</v>
      </c>
      <c r="Y47" s="67">
        <v>9.6999999999999993</v>
      </c>
      <c r="Z47" s="67">
        <v>9.6999999999999993</v>
      </c>
      <c r="AA47" s="67">
        <v>9.6999999999999993</v>
      </c>
      <c r="AB47" s="67">
        <v>9.6999999999999993</v>
      </c>
      <c r="AC47" s="67">
        <v>9.6999999999999993</v>
      </c>
      <c r="AD47" s="67">
        <v>9.6999999999999993</v>
      </c>
      <c r="AE47" s="67">
        <v>9.6999999999999993</v>
      </c>
      <c r="AF47" s="67">
        <v>9.6999999999999993</v>
      </c>
      <c r="AG47" s="68">
        <v>22.1</v>
      </c>
      <c r="AH47" s="47">
        <f t="shared" si="2"/>
        <v>9.6999999999999993</v>
      </c>
      <c r="AI47" s="48">
        <f t="shared" si="3"/>
        <v>9.5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37.5</v>
      </c>
      <c r="C48" s="60">
        <f t="shared" si="5"/>
        <v>37.5</v>
      </c>
      <c r="D48" s="60">
        <f t="shared" si="5"/>
        <v>37.5</v>
      </c>
      <c r="E48" s="60">
        <f t="shared" si="5"/>
        <v>37.5</v>
      </c>
      <c r="F48" s="60">
        <f t="shared" si="5"/>
        <v>37.5</v>
      </c>
      <c r="G48" s="60">
        <f t="shared" si="5"/>
        <v>37.5</v>
      </c>
      <c r="H48" s="60">
        <f t="shared" si="5"/>
        <v>52.5</v>
      </c>
      <c r="I48" s="60">
        <f t="shared" si="5"/>
        <v>52.5</v>
      </c>
      <c r="J48" s="60">
        <f t="shared" si="5"/>
        <v>297.5</v>
      </c>
      <c r="K48" s="60">
        <f t="shared" si="5"/>
        <v>317.5</v>
      </c>
      <c r="L48" s="60">
        <f t="shared" si="5"/>
        <v>341.5</v>
      </c>
      <c r="M48" s="60">
        <f t="shared" si="5"/>
        <v>341.5</v>
      </c>
      <c r="N48" s="60">
        <f t="shared" si="5"/>
        <v>287.5</v>
      </c>
      <c r="O48" s="60">
        <f t="shared" si="5"/>
        <v>117.5</v>
      </c>
      <c r="P48" s="60">
        <f t="shared" si="5"/>
        <v>107.5</v>
      </c>
      <c r="Q48" s="60">
        <f t="shared" si="5"/>
        <v>107.5</v>
      </c>
      <c r="R48" s="60">
        <f t="shared" si="5"/>
        <v>127.5</v>
      </c>
      <c r="S48" s="60">
        <f t="shared" si="5"/>
        <v>77.5</v>
      </c>
      <c r="T48" s="60">
        <f t="shared" si="5"/>
        <v>37.700000000000003</v>
      </c>
      <c r="U48" s="60">
        <f t="shared" si="5"/>
        <v>37.700000000000003</v>
      </c>
      <c r="V48" s="60">
        <f t="shared" si="5"/>
        <v>37.700000000000003</v>
      </c>
      <c r="W48" s="60">
        <f t="shared" si="5"/>
        <v>37.700000000000003</v>
      </c>
      <c r="X48" s="60">
        <f t="shared" si="5"/>
        <v>67.7</v>
      </c>
      <c r="Y48" s="60">
        <f t="shared" si="5"/>
        <v>242.7</v>
      </c>
      <c r="Z48" s="60">
        <f t="shared" si="5"/>
        <v>331.4</v>
      </c>
      <c r="AA48" s="60">
        <f t="shared" si="5"/>
        <v>283.3</v>
      </c>
      <c r="AB48" s="60">
        <f t="shared" si="5"/>
        <v>107.7</v>
      </c>
      <c r="AC48" s="60">
        <f t="shared" si="5"/>
        <v>87.7</v>
      </c>
      <c r="AD48" s="60">
        <f t="shared" si="5"/>
        <v>97.7</v>
      </c>
      <c r="AE48" s="60">
        <f t="shared" si="5"/>
        <v>37.700000000000003</v>
      </c>
      <c r="AF48" s="60">
        <f t="shared" si="5"/>
        <v>37.700000000000003</v>
      </c>
      <c r="AG48" s="61">
        <f t="shared" si="5"/>
        <v>538.1</v>
      </c>
      <c r="AH48" s="47">
        <f t="shared" si="2"/>
        <v>341.5</v>
      </c>
      <c r="AI48" s="48">
        <f t="shared" si="3"/>
        <v>37.5</v>
      </c>
      <c r="AK48" s="49"/>
    </row>
    <row r="49" spans="1:41" x14ac:dyDescent="0.25">
      <c r="A49" s="44" t="s">
        <v>57</v>
      </c>
      <c r="B49" s="45">
        <v>40</v>
      </c>
      <c r="C49" s="45">
        <v>40</v>
      </c>
      <c r="D49" s="45">
        <v>40</v>
      </c>
      <c r="E49" s="45">
        <v>0</v>
      </c>
      <c r="F49" s="45">
        <v>0</v>
      </c>
      <c r="G49" s="45">
        <v>42.6</v>
      </c>
      <c r="H49" s="45">
        <v>42</v>
      </c>
      <c r="I49" s="45">
        <v>48.6</v>
      </c>
      <c r="J49" s="45">
        <v>99</v>
      </c>
      <c r="K49" s="45">
        <v>108.6</v>
      </c>
      <c r="L49" s="45">
        <v>71.7</v>
      </c>
      <c r="M49" s="45">
        <v>71.7</v>
      </c>
      <c r="N49" s="45">
        <v>60.3</v>
      </c>
      <c r="O49" s="45">
        <v>87.6</v>
      </c>
      <c r="P49" s="45">
        <v>87.6</v>
      </c>
      <c r="Q49" s="45">
        <v>32.799999999999997</v>
      </c>
      <c r="R49" s="45">
        <v>32.799999999999997</v>
      </c>
      <c r="S49" s="45">
        <v>32</v>
      </c>
      <c r="T49" s="45">
        <v>30.5</v>
      </c>
      <c r="U49" s="45">
        <v>28.8</v>
      </c>
      <c r="V49" s="45">
        <v>48.9</v>
      </c>
      <c r="W49" s="45">
        <v>67.5</v>
      </c>
      <c r="X49" s="45">
        <v>127.7</v>
      </c>
      <c r="Y49" s="45">
        <v>142.80000000000001</v>
      </c>
      <c r="Z49" s="45">
        <v>142</v>
      </c>
      <c r="AA49" s="45">
        <v>142</v>
      </c>
      <c r="AB49" s="45">
        <v>141.19999999999999</v>
      </c>
      <c r="AC49" s="45">
        <v>141.80000000000001</v>
      </c>
      <c r="AD49" s="45">
        <v>123</v>
      </c>
      <c r="AE49" s="45">
        <v>0</v>
      </c>
      <c r="AF49" s="45">
        <v>0</v>
      </c>
      <c r="AG49" s="51">
        <v>144</v>
      </c>
      <c r="AH49" s="47">
        <f t="shared" si="2"/>
        <v>142.80000000000001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24</v>
      </c>
      <c r="I50" s="65">
        <v>34.700000000000003</v>
      </c>
      <c r="J50" s="65">
        <v>63.3</v>
      </c>
      <c r="K50" s="65">
        <v>50</v>
      </c>
      <c r="L50" s="65">
        <v>59.9</v>
      </c>
      <c r="M50" s="65">
        <v>49</v>
      </c>
      <c r="N50" s="65">
        <v>45</v>
      </c>
      <c r="O50" s="65">
        <v>45</v>
      </c>
      <c r="P50" s="65">
        <v>45</v>
      </c>
      <c r="Q50" s="65">
        <v>25.1</v>
      </c>
      <c r="R50" s="65">
        <v>0</v>
      </c>
      <c r="S50" s="45">
        <v>0</v>
      </c>
      <c r="T50" s="45">
        <v>22.9</v>
      </c>
      <c r="U50" s="45">
        <v>21.4</v>
      </c>
      <c r="V50" s="45">
        <v>35.5</v>
      </c>
      <c r="W50" s="45">
        <v>45.6</v>
      </c>
      <c r="X50" s="45">
        <v>44.2</v>
      </c>
      <c r="Y50" s="45">
        <v>71</v>
      </c>
      <c r="Z50" s="45">
        <v>71</v>
      </c>
      <c r="AA50" s="45">
        <v>70.599999999999994</v>
      </c>
      <c r="AB50" s="45">
        <v>69.8</v>
      </c>
      <c r="AC50" s="45">
        <v>50.5</v>
      </c>
      <c r="AD50" s="65">
        <v>23.6</v>
      </c>
      <c r="AE50" s="65">
        <v>0</v>
      </c>
      <c r="AF50" s="65">
        <v>0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16.600000000000001</v>
      </c>
      <c r="F51" s="65">
        <v>46</v>
      </c>
      <c r="G51" s="65">
        <v>44</v>
      </c>
      <c r="H51" s="65">
        <v>44</v>
      </c>
      <c r="I51" s="65">
        <v>46.5</v>
      </c>
      <c r="J51" s="65">
        <v>62.5</v>
      </c>
      <c r="K51" s="65">
        <v>56.8</v>
      </c>
      <c r="L51" s="65">
        <v>68.400000000000006</v>
      </c>
      <c r="M51" s="65">
        <v>59</v>
      </c>
      <c r="N51" s="65">
        <v>33</v>
      </c>
      <c r="O51" s="65">
        <v>33</v>
      </c>
      <c r="P51" s="65">
        <v>32</v>
      </c>
      <c r="Q51" s="65">
        <v>0</v>
      </c>
      <c r="R51" s="65">
        <v>0</v>
      </c>
      <c r="S51" s="45">
        <v>0</v>
      </c>
      <c r="T51" s="45">
        <v>16</v>
      </c>
      <c r="U51" s="45">
        <v>16.2</v>
      </c>
      <c r="V51" s="45">
        <v>42.1</v>
      </c>
      <c r="W51" s="45">
        <v>36.200000000000003</v>
      </c>
      <c r="X51" s="45">
        <v>59.7</v>
      </c>
      <c r="Y51" s="45">
        <v>68.8</v>
      </c>
      <c r="Z51" s="45">
        <v>68.400000000000006</v>
      </c>
      <c r="AA51" s="45">
        <v>67.400000000000006</v>
      </c>
      <c r="AB51" s="45">
        <v>67.5</v>
      </c>
      <c r="AC51" s="45">
        <v>61.8</v>
      </c>
      <c r="AD51" s="65">
        <v>52.5</v>
      </c>
      <c r="AE51" s="65">
        <v>22.2</v>
      </c>
      <c r="AF51" s="65">
        <v>17.600000000000001</v>
      </c>
      <c r="AG51" s="54">
        <v>69</v>
      </c>
      <c r="AH51" s="47">
        <f t="shared" si="2"/>
        <v>68.8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42</v>
      </c>
      <c r="C52" s="56">
        <v>42</v>
      </c>
      <c r="D52" s="56">
        <v>42</v>
      </c>
      <c r="E52" s="56">
        <v>43.3</v>
      </c>
      <c r="F52" s="56">
        <v>43.3</v>
      </c>
      <c r="G52" s="56">
        <v>43.3</v>
      </c>
      <c r="H52" s="56">
        <v>43.3</v>
      </c>
      <c r="I52" s="56">
        <v>40.6</v>
      </c>
      <c r="J52" s="56">
        <v>40.6</v>
      </c>
      <c r="K52" s="56">
        <v>40.6</v>
      </c>
      <c r="L52" s="56">
        <v>42.3</v>
      </c>
      <c r="M52" s="56">
        <v>42.3</v>
      </c>
      <c r="N52" s="56">
        <v>42.3</v>
      </c>
      <c r="O52" s="56">
        <v>42.3</v>
      </c>
      <c r="P52" s="56">
        <v>42.3</v>
      </c>
      <c r="Q52" s="56">
        <v>42.3</v>
      </c>
      <c r="R52" s="56">
        <v>42.3</v>
      </c>
      <c r="S52" s="45">
        <v>44.3</v>
      </c>
      <c r="T52" s="45">
        <v>42.1</v>
      </c>
      <c r="U52" s="45">
        <v>42.1</v>
      </c>
      <c r="V52" s="45">
        <v>42.8</v>
      </c>
      <c r="W52" s="45">
        <v>42.8</v>
      </c>
      <c r="X52" s="45">
        <v>42.8</v>
      </c>
      <c r="Y52" s="65">
        <v>40.299999999999997</v>
      </c>
      <c r="Z52" s="65">
        <v>40.299999999999997</v>
      </c>
      <c r="AA52" s="65">
        <v>40.299999999999997</v>
      </c>
      <c r="AB52" s="65">
        <v>42.3</v>
      </c>
      <c r="AC52" s="65">
        <v>42.3</v>
      </c>
      <c r="AD52" s="65">
        <v>42.6</v>
      </c>
      <c r="AE52" s="65">
        <v>42.6</v>
      </c>
      <c r="AF52" s="65">
        <v>42.6</v>
      </c>
      <c r="AG52" s="54">
        <v>60</v>
      </c>
      <c r="AH52" s="47">
        <f t="shared" si="2"/>
        <v>44.3</v>
      </c>
      <c r="AI52" s="48">
        <f t="shared" si="3"/>
        <v>40.299999999999997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15</v>
      </c>
      <c r="H53" s="56">
        <v>15</v>
      </c>
      <c r="I53" s="56">
        <v>15</v>
      </c>
      <c r="J53" s="56">
        <v>15</v>
      </c>
      <c r="K53" s="56">
        <v>15</v>
      </c>
      <c r="L53" s="56">
        <v>15</v>
      </c>
      <c r="M53" s="56">
        <v>15</v>
      </c>
      <c r="N53" s="56">
        <v>15</v>
      </c>
      <c r="O53" s="56">
        <v>15</v>
      </c>
      <c r="P53" s="56">
        <v>15</v>
      </c>
      <c r="Q53" s="56">
        <v>0</v>
      </c>
      <c r="R53" s="56">
        <v>0</v>
      </c>
      <c r="S53" s="45">
        <v>0</v>
      </c>
      <c r="T53" s="45">
        <v>13</v>
      </c>
      <c r="U53" s="45">
        <v>13</v>
      </c>
      <c r="V53" s="45">
        <v>13</v>
      </c>
      <c r="W53" s="45">
        <v>13</v>
      </c>
      <c r="X53" s="45">
        <v>13</v>
      </c>
      <c r="Y53" s="65">
        <v>30</v>
      </c>
      <c r="Z53" s="65">
        <v>30</v>
      </c>
      <c r="AA53" s="65">
        <v>30</v>
      </c>
      <c r="AB53" s="65">
        <v>30</v>
      </c>
      <c r="AC53" s="65">
        <v>30</v>
      </c>
      <c r="AD53" s="65">
        <v>15</v>
      </c>
      <c r="AE53" s="65">
        <v>12</v>
      </c>
      <c r="AF53" s="65">
        <v>12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8</v>
      </c>
      <c r="N54" s="45">
        <v>8</v>
      </c>
      <c r="O54" s="45">
        <v>8</v>
      </c>
      <c r="P54" s="45">
        <v>8</v>
      </c>
      <c r="Q54" s="4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45">
        <v>8</v>
      </c>
      <c r="Y54" s="65">
        <v>8</v>
      </c>
      <c r="Z54" s="65">
        <v>8</v>
      </c>
      <c r="AA54" s="65">
        <v>8</v>
      </c>
      <c r="AB54" s="65">
        <v>8</v>
      </c>
      <c r="AC54" s="65">
        <v>8</v>
      </c>
      <c r="AD54" s="65">
        <v>8</v>
      </c>
      <c r="AE54" s="65">
        <v>8</v>
      </c>
      <c r="AF54" s="65">
        <v>8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12.9</v>
      </c>
      <c r="C55" s="65">
        <v>12.9</v>
      </c>
      <c r="D55" s="65">
        <v>12.9</v>
      </c>
      <c r="E55" s="65">
        <v>12.9</v>
      </c>
      <c r="F55" s="65">
        <v>12.9</v>
      </c>
      <c r="G55" s="65">
        <v>12.9</v>
      </c>
      <c r="H55" s="65">
        <v>12.9</v>
      </c>
      <c r="I55" s="65">
        <v>12.9</v>
      </c>
      <c r="J55" s="65">
        <v>12.9</v>
      </c>
      <c r="K55" s="65">
        <v>12.9</v>
      </c>
      <c r="L55" s="65">
        <v>12.9</v>
      </c>
      <c r="M55" s="65">
        <v>12.9</v>
      </c>
      <c r="N55" s="65">
        <v>12.9</v>
      </c>
      <c r="O55" s="65">
        <v>12.9</v>
      </c>
      <c r="P55" s="65">
        <v>12.9</v>
      </c>
      <c r="Q55" s="65">
        <v>12.9</v>
      </c>
      <c r="R55" s="65">
        <v>12.9</v>
      </c>
      <c r="S55" s="65">
        <v>12.9</v>
      </c>
      <c r="T55" s="65">
        <v>12.9</v>
      </c>
      <c r="U55" s="65">
        <v>12.9</v>
      </c>
      <c r="V55" s="65">
        <v>12.9</v>
      </c>
      <c r="W55" s="65">
        <v>12.9</v>
      </c>
      <c r="X55" s="65">
        <v>12.9</v>
      </c>
      <c r="Y55" s="65">
        <v>12.9</v>
      </c>
      <c r="Z55" s="65">
        <v>12.9</v>
      </c>
      <c r="AA55" s="65">
        <v>12.9</v>
      </c>
      <c r="AB55" s="65">
        <v>12.9</v>
      </c>
      <c r="AC55" s="65">
        <v>12.9</v>
      </c>
      <c r="AD55" s="65">
        <v>12.9</v>
      </c>
      <c r="AE55" s="65">
        <v>12.9</v>
      </c>
      <c r="AF55" s="65">
        <v>12.9</v>
      </c>
      <c r="AG55" s="54">
        <v>24</v>
      </c>
      <c r="AH55" s="47">
        <f t="shared" si="2"/>
        <v>12.9</v>
      </c>
      <c r="AI55" s="48">
        <f t="shared" si="3"/>
        <v>12.9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9.8000000000000007</v>
      </c>
      <c r="C57" s="65">
        <v>9.8000000000000007</v>
      </c>
      <c r="D57" s="65">
        <v>9.8000000000000007</v>
      </c>
      <c r="E57" s="65">
        <v>9.8000000000000007</v>
      </c>
      <c r="F57" s="65">
        <v>9.8000000000000007</v>
      </c>
      <c r="G57" s="65">
        <v>9.8000000000000007</v>
      </c>
      <c r="H57" s="65">
        <v>9.8000000000000007</v>
      </c>
      <c r="I57" s="65">
        <v>9.8000000000000007</v>
      </c>
      <c r="J57" s="65">
        <v>9.8000000000000007</v>
      </c>
      <c r="K57" s="65">
        <v>9.8000000000000007</v>
      </c>
      <c r="L57" s="65">
        <v>9.8000000000000007</v>
      </c>
      <c r="M57" s="65">
        <v>9.8000000000000007</v>
      </c>
      <c r="N57" s="65">
        <v>9.8000000000000007</v>
      </c>
      <c r="O57" s="65">
        <v>9.8000000000000007</v>
      </c>
      <c r="P57" s="65">
        <v>9.8000000000000007</v>
      </c>
      <c r="Q57" s="65">
        <v>9.8000000000000007</v>
      </c>
      <c r="R57" s="65">
        <v>9.8000000000000007</v>
      </c>
      <c r="S57" s="65">
        <v>9.8000000000000007</v>
      </c>
      <c r="T57" s="65">
        <v>9.8000000000000007</v>
      </c>
      <c r="U57" s="65">
        <v>9.8000000000000007</v>
      </c>
      <c r="V57" s="65">
        <v>9.8000000000000007</v>
      </c>
      <c r="W57" s="65">
        <v>9.8000000000000007</v>
      </c>
      <c r="X57" s="65">
        <v>9.8000000000000007</v>
      </c>
      <c r="Y57" s="65">
        <v>9.8000000000000007</v>
      </c>
      <c r="Z57" s="65">
        <v>9.8000000000000007</v>
      </c>
      <c r="AA57" s="65">
        <v>9.8000000000000007</v>
      </c>
      <c r="AB57" s="65">
        <v>9.8000000000000007</v>
      </c>
      <c r="AC57" s="65">
        <v>9.8000000000000007</v>
      </c>
      <c r="AD57" s="65">
        <v>9.8000000000000007</v>
      </c>
      <c r="AE57" s="65">
        <v>9.8000000000000007</v>
      </c>
      <c r="AF57" s="65">
        <v>9.8000000000000007</v>
      </c>
      <c r="AG57" s="54">
        <v>14.1</v>
      </c>
      <c r="AH57" s="47">
        <f t="shared" si="2"/>
        <v>9.8000000000000007</v>
      </c>
      <c r="AI57" s="48">
        <f t="shared" si="3"/>
        <v>9.8000000000000007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123.84000000000002</v>
      </c>
      <c r="C62" s="60">
        <f t="shared" si="6"/>
        <v>123.84000000000002</v>
      </c>
      <c r="D62" s="60">
        <f t="shared" si="6"/>
        <v>123.84000000000002</v>
      </c>
      <c r="E62" s="60">
        <f t="shared" si="6"/>
        <v>101.74000000000001</v>
      </c>
      <c r="F62" s="60">
        <f t="shared" si="6"/>
        <v>131.14000000000001</v>
      </c>
      <c r="G62" s="60">
        <f t="shared" si="6"/>
        <v>186.73999999999995</v>
      </c>
      <c r="H62" s="60">
        <f t="shared" si="6"/>
        <v>210.14</v>
      </c>
      <c r="I62" s="60">
        <f t="shared" si="6"/>
        <v>227.23999999999998</v>
      </c>
      <c r="J62" s="60">
        <f t="shared" si="6"/>
        <v>322.24</v>
      </c>
      <c r="K62" s="60">
        <f t="shared" si="6"/>
        <v>312.83999999999997</v>
      </c>
      <c r="L62" s="60">
        <f t="shared" si="6"/>
        <v>299.14</v>
      </c>
      <c r="M62" s="60">
        <f t="shared" si="6"/>
        <v>286.83999999999997</v>
      </c>
      <c r="N62" s="60">
        <f t="shared" si="6"/>
        <v>245.44</v>
      </c>
      <c r="O62" s="60">
        <f t="shared" si="6"/>
        <v>272.73999999999995</v>
      </c>
      <c r="P62" s="60">
        <f t="shared" si="6"/>
        <v>271.73999999999995</v>
      </c>
      <c r="Q62" s="60">
        <f t="shared" si="6"/>
        <v>150.03999999999996</v>
      </c>
      <c r="R62" s="60">
        <f t="shared" si="6"/>
        <v>124.94000000000001</v>
      </c>
      <c r="S62" s="60">
        <f t="shared" si="6"/>
        <v>126.14000000000001</v>
      </c>
      <c r="T62" s="60">
        <f t="shared" si="6"/>
        <v>174.33999999999997</v>
      </c>
      <c r="U62" s="60">
        <f t="shared" si="6"/>
        <v>171.33999999999997</v>
      </c>
      <c r="V62" s="60">
        <f t="shared" si="6"/>
        <v>232.14</v>
      </c>
      <c r="W62" s="60">
        <f t="shared" si="6"/>
        <v>254.94</v>
      </c>
      <c r="X62" s="60">
        <f t="shared" si="6"/>
        <v>337.24</v>
      </c>
      <c r="Y62" s="60">
        <f t="shared" si="6"/>
        <v>402.74</v>
      </c>
      <c r="Z62" s="60">
        <f t="shared" si="6"/>
        <v>401.53999999999996</v>
      </c>
      <c r="AA62" s="60">
        <f t="shared" si="6"/>
        <v>400.14</v>
      </c>
      <c r="AB62" s="60">
        <f t="shared" si="6"/>
        <v>400.64</v>
      </c>
      <c r="AC62" s="60">
        <f t="shared" si="6"/>
        <v>376.24</v>
      </c>
      <c r="AD62" s="60">
        <f t="shared" si="6"/>
        <v>306.53999999999996</v>
      </c>
      <c r="AE62" s="60">
        <f t="shared" si="6"/>
        <v>126.64000000000001</v>
      </c>
      <c r="AF62" s="60">
        <f t="shared" si="6"/>
        <v>122.04000000000002</v>
      </c>
      <c r="AG62" s="61">
        <f t="shared" si="6"/>
        <v>489.91</v>
      </c>
      <c r="AH62" s="47">
        <f t="shared" si="2"/>
        <v>402.74</v>
      </c>
      <c r="AI62" s="48">
        <f t="shared" si="3"/>
        <v>101.74000000000001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0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3.7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3.7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1.4</v>
      </c>
      <c r="Y65" s="67">
        <v>0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1.4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f t="shared" si="7"/>
        <v>5.0999999999999996</v>
      </c>
      <c r="Y66" s="60">
        <f t="shared" si="7"/>
        <v>0</v>
      </c>
      <c r="Z66" s="60">
        <f t="shared" si="7"/>
        <v>0</v>
      </c>
      <c r="AA66" s="60">
        <f t="shared" si="7"/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5.0999999999999996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330</v>
      </c>
      <c r="C69" s="65">
        <v>300</v>
      </c>
      <c r="D69" s="65">
        <v>341</v>
      </c>
      <c r="E69" s="65">
        <v>339</v>
      </c>
      <c r="F69" s="65">
        <v>341</v>
      </c>
      <c r="G69" s="65">
        <v>351</v>
      </c>
      <c r="H69" s="65">
        <v>336</v>
      </c>
      <c r="I69" s="65">
        <v>338</v>
      </c>
      <c r="J69" s="65">
        <v>83.85</v>
      </c>
      <c r="K69" s="65">
        <v>56.8</v>
      </c>
      <c r="L69" s="65">
        <v>23</v>
      </c>
      <c r="M69" s="65">
        <v>52.6</v>
      </c>
      <c r="N69" s="65">
        <v>84</v>
      </c>
      <c r="O69" s="65">
        <v>98</v>
      </c>
      <c r="P69" s="65">
        <v>175</v>
      </c>
      <c r="Q69" s="65">
        <v>296</v>
      </c>
      <c r="R69" s="65">
        <v>303</v>
      </c>
      <c r="S69" s="65">
        <v>340</v>
      </c>
      <c r="T69" s="65">
        <v>344</v>
      </c>
      <c r="U69" s="65">
        <v>339</v>
      </c>
      <c r="V69" s="65">
        <v>260.3</v>
      </c>
      <c r="W69" s="65">
        <v>268.3</v>
      </c>
      <c r="X69" s="65">
        <v>233.8</v>
      </c>
      <c r="Y69" s="65">
        <v>131.5</v>
      </c>
      <c r="Z69" s="65">
        <v>11.4</v>
      </c>
      <c r="AA69" s="65">
        <v>0</v>
      </c>
      <c r="AB69" s="65">
        <v>100</v>
      </c>
      <c r="AC69" s="65">
        <v>160</v>
      </c>
      <c r="AD69" s="65">
        <v>160</v>
      </c>
      <c r="AE69" s="65">
        <v>340</v>
      </c>
      <c r="AF69" s="65">
        <v>320.3</v>
      </c>
      <c r="AG69" s="75"/>
      <c r="AH69" s="47">
        <f t="shared" si="2"/>
        <v>351</v>
      </c>
      <c r="AI69" s="48">
        <f t="shared" si="3"/>
        <v>0</v>
      </c>
      <c r="AK69" s="49"/>
    </row>
    <row r="70" spans="1:40" x14ac:dyDescent="0.25">
      <c r="A70" s="53" t="s">
        <v>78</v>
      </c>
      <c r="B70" s="76">
        <v>51</v>
      </c>
      <c r="C70" s="76">
        <v>51</v>
      </c>
      <c r="D70" s="76">
        <v>51</v>
      </c>
      <c r="E70" s="76">
        <v>50</v>
      </c>
      <c r="F70" s="76">
        <v>41.5</v>
      </c>
      <c r="G70" s="76">
        <v>48</v>
      </c>
      <c r="H70" s="76">
        <v>55.4</v>
      </c>
      <c r="I70" s="76">
        <v>60</v>
      </c>
      <c r="J70" s="76">
        <v>64.2</v>
      </c>
      <c r="K70" s="76">
        <v>67.7</v>
      </c>
      <c r="L70" s="76">
        <v>60.9</v>
      </c>
      <c r="M70" s="76">
        <v>55</v>
      </c>
      <c r="N70" s="76">
        <v>49.2</v>
      </c>
      <c r="O70" s="76">
        <v>46.3</v>
      </c>
      <c r="P70" s="76">
        <v>47</v>
      </c>
      <c r="Q70" s="76">
        <v>48.4</v>
      </c>
      <c r="R70" s="76">
        <v>49.3</v>
      </c>
      <c r="S70" s="76">
        <v>48.7</v>
      </c>
      <c r="T70" s="76">
        <v>47.7</v>
      </c>
      <c r="U70" s="76">
        <v>48.1</v>
      </c>
      <c r="V70" s="76">
        <v>47.6</v>
      </c>
      <c r="W70" s="76">
        <v>51.9</v>
      </c>
      <c r="X70" s="76">
        <v>51.5</v>
      </c>
      <c r="Y70" s="65">
        <v>60.2</v>
      </c>
      <c r="Z70" s="65">
        <v>60.7</v>
      </c>
      <c r="AA70" s="65">
        <v>60.7</v>
      </c>
      <c r="AB70" s="65">
        <v>57.2</v>
      </c>
      <c r="AC70" s="65">
        <v>50.3</v>
      </c>
      <c r="AD70" s="65">
        <v>51.7</v>
      </c>
      <c r="AE70" s="65">
        <v>51.7</v>
      </c>
      <c r="AF70" s="65">
        <v>46.2</v>
      </c>
      <c r="AG70" s="75"/>
      <c r="AH70" s="47">
        <f t="shared" si="2"/>
        <v>67.7</v>
      </c>
      <c r="AI70" s="48">
        <f t="shared" si="3"/>
        <v>41.5</v>
      </c>
      <c r="AK70" s="49"/>
    </row>
    <row r="71" spans="1:40" x14ac:dyDescent="0.25">
      <c r="A71" s="53" t="s">
        <v>79</v>
      </c>
      <c r="B71" s="45">
        <v>45</v>
      </c>
      <c r="C71" s="45">
        <v>85</v>
      </c>
      <c r="D71" s="45">
        <v>24</v>
      </c>
      <c r="E71" s="45">
        <v>24</v>
      </c>
      <c r="F71" s="45">
        <v>27</v>
      </c>
      <c r="G71" s="45">
        <v>27</v>
      </c>
      <c r="H71" s="45">
        <v>27</v>
      </c>
      <c r="I71" s="45">
        <v>82</v>
      </c>
      <c r="J71" s="45">
        <v>75</v>
      </c>
      <c r="K71" s="45">
        <v>80</v>
      </c>
      <c r="L71" s="45">
        <v>92</v>
      </c>
      <c r="M71" s="45">
        <v>88</v>
      </c>
      <c r="N71" s="45">
        <v>88</v>
      </c>
      <c r="O71" s="45">
        <v>85</v>
      </c>
      <c r="P71" s="45">
        <v>85</v>
      </c>
      <c r="Q71" s="45">
        <v>85</v>
      </c>
      <c r="R71" s="45">
        <v>38</v>
      </c>
      <c r="S71" s="45">
        <v>58</v>
      </c>
      <c r="T71" s="45">
        <v>60</v>
      </c>
      <c r="U71" s="45">
        <v>60</v>
      </c>
      <c r="V71" s="45">
        <v>72</v>
      </c>
      <c r="W71" s="45">
        <v>72</v>
      </c>
      <c r="X71" s="45">
        <v>72</v>
      </c>
      <c r="Y71" s="45">
        <v>62.4</v>
      </c>
      <c r="Z71" s="45">
        <v>62.5</v>
      </c>
      <c r="AA71" s="45">
        <v>62.5</v>
      </c>
      <c r="AB71" s="45">
        <v>72</v>
      </c>
      <c r="AC71" s="45">
        <v>72</v>
      </c>
      <c r="AD71" s="45">
        <v>72</v>
      </c>
      <c r="AE71" s="45">
        <v>78</v>
      </c>
      <c r="AF71" s="45">
        <v>18</v>
      </c>
      <c r="AG71" s="75"/>
      <c r="AH71" s="47">
        <f t="shared" si="2"/>
        <v>92</v>
      </c>
      <c r="AI71" s="48">
        <f t="shared" si="3"/>
        <v>18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431</v>
      </c>
      <c r="C78" s="60">
        <f t="shared" si="10"/>
        <v>441</v>
      </c>
      <c r="D78" s="60">
        <f t="shared" si="10"/>
        <v>421</v>
      </c>
      <c r="E78" s="60">
        <f t="shared" si="10"/>
        <v>418</v>
      </c>
      <c r="F78" s="60">
        <f t="shared" si="10"/>
        <v>414.5</v>
      </c>
      <c r="G78" s="60">
        <f t="shared" si="10"/>
        <v>431</v>
      </c>
      <c r="H78" s="60">
        <f t="shared" si="10"/>
        <v>423.4</v>
      </c>
      <c r="I78" s="60">
        <f t="shared" si="10"/>
        <v>485</v>
      </c>
      <c r="J78" s="60">
        <f t="shared" si="10"/>
        <v>228.05</v>
      </c>
      <c r="K78" s="60">
        <f t="shared" si="10"/>
        <v>209.5</v>
      </c>
      <c r="L78" s="60">
        <f t="shared" si="10"/>
        <v>180.9</v>
      </c>
      <c r="M78" s="60">
        <f t="shared" si="10"/>
        <v>200.6</v>
      </c>
      <c r="N78" s="60">
        <f t="shared" si="10"/>
        <v>226.2</v>
      </c>
      <c r="O78" s="60">
        <f t="shared" si="10"/>
        <v>234.3</v>
      </c>
      <c r="P78" s="60">
        <f t="shared" si="10"/>
        <v>312</v>
      </c>
      <c r="Q78" s="60">
        <f t="shared" si="10"/>
        <v>429.4</v>
      </c>
      <c r="R78" s="60">
        <f t="shared" si="10"/>
        <v>390.3</v>
      </c>
      <c r="S78" s="60">
        <f t="shared" si="10"/>
        <v>446.7</v>
      </c>
      <c r="T78" s="60">
        <f t="shared" si="10"/>
        <v>451.7</v>
      </c>
      <c r="U78" s="60">
        <f t="shared" si="10"/>
        <v>447.1</v>
      </c>
      <c r="V78" s="60">
        <f t="shared" si="10"/>
        <v>379.90000000000003</v>
      </c>
      <c r="W78" s="60">
        <f t="shared" si="10"/>
        <v>392.2</v>
      </c>
      <c r="X78" s="60">
        <f t="shared" si="10"/>
        <v>357.3</v>
      </c>
      <c r="Y78" s="60">
        <f t="shared" si="10"/>
        <v>259.10000000000002</v>
      </c>
      <c r="Z78" s="60">
        <f t="shared" si="10"/>
        <v>139.60000000000002</v>
      </c>
      <c r="AA78" s="60">
        <f t="shared" si="10"/>
        <v>128.19999999999999</v>
      </c>
      <c r="AB78" s="60">
        <f t="shared" si="10"/>
        <v>234.2</v>
      </c>
      <c r="AC78" s="60">
        <f t="shared" si="10"/>
        <v>287.3</v>
      </c>
      <c r="AD78" s="60">
        <f t="shared" si="10"/>
        <v>288.7</v>
      </c>
      <c r="AE78" s="60">
        <f t="shared" si="10"/>
        <v>474.7</v>
      </c>
      <c r="AF78" s="60">
        <f t="shared" si="10"/>
        <v>389.5</v>
      </c>
      <c r="AG78" s="88">
        <f>SUM(AG67:AG77)</f>
        <v>0</v>
      </c>
      <c r="AH78" s="47">
        <f t="shared" si="8"/>
        <v>485</v>
      </c>
      <c r="AI78" s="48">
        <f t="shared" si="9"/>
        <v>128.19999999999999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951.54000000000008</v>
      </c>
      <c r="C83" s="95">
        <f t="shared" ref="C83:AG83" si="11">C44+C48+C66+C62+C78+C82</f>
        <v>961.54000000000008</v>
      </c>
      <c r="D83" s="95">
        <f t="shared" si="11"/>
        <v>941.54000000000008</v>
      </c>
      <c r="E83" s="95">
        <f t="shared" si="11"/>
        <v>916.44</v>
      </c>
      <c r="F83" s="95">
        <f t="shared" si="11"/>
        <v>942.34</v>
      </c>
      <c r="G83" s="95">
        <f t="shared" si="11"/>
        <v>1014.44</v>
      </c>
      <c r="H83" s="95">
        <f t="shared" si="11"/>
        <v>1045.24</v>
      </c>
      <c r="I83" s="95">
        <f t="shared" si="11"/>
        <v>1123.94</v>
      </c>
      <c r="J83" s="95">
        <f t="shared" si="11"/>
        <v>1206.99</v>
      </c>
      <c r="K83" s="95">
        <f t="shared" si="11"/>
        <v>1199.04</v>
      </c>
      <c r="L83" s="95">
        <f t="shared" si="11"/>
        <v>1180.74</v>
      </c>
      <c r="M83" s="95">
        <f t="shared" si="11"/>
        <v>1188.1399999999999</v>
      </c>
      <c r="N83" s="95">
        <f t="shared" si="11"/>
        <v>1118.3400000000001</v>
      </c>
      <c r="O83" s="95">
        <f t="shared" si="11"/>
        <v>983.74</v>
      </c>
      <c r="P83" s="95">
        <f t="shared" si="11"/>
        <v>1050.44</v>
      </c>
      <c r="Q83" s="95">
        <f t="shared" si="11"/>
        <v>1046.1399999999999</v>
      </c>
      <c r="R83" s="95">
        <f t="shared" si="11"/>
        <v>1001.94</v>
      </c>
      <c r="S83" s="95">
        <f t="shared" si="11"/>
        <v>1009.54</v>
      </c>
      <c r="T83" s="95">
        <f t="shared" si="11"/>
        <v>1022.94</v>
      </c>
      <c r="U83" s="95">
        <f t="shared" si="11"/>
        <v>1015.34</v>
      </c>
      <c r="V83" s="95">
        <f t="shared" si="11"/>
        <v>1008.94</v>
      </c>
      <c r="W83" s="95">
        <f t="shared" si="11"/>
        <v>1044.04</v>
      </c>
      <c r="X83" s="95">
        <f t="shared" si="11"/>
        <v>1126.54</v>
      </c>
      <c r="Y83" s="95">
        <f t="shared" si="11"/>
        <v>1263.7400000000002</v>
      </c>
      <c r="Z83" s="95">
        <f t="shared" si="11"/>
        <v>1231.7399999999998</v>
      </c>
      <c r="AA83" s="95">
        <f t="shared" si="11"/>
        <v>1170.8399999999999</v>
      </c>
      <c r="AB83" s="95">
        <f t="shared" si="11"/>
        <v>1101.74</v>
      </c>
      <c r="AC83" s="95">
        <f t="shared" si="11"/>
        <v>1110.44</v>
      </c>
      <c r="AD83" s="95">
        <f t="shared" si="11"/>
        <v>1052.1400000000001</v>
      </c>
      <c r="AE83" s="95">
        <f t="shared" si="11"/>
        <v>998.24</v>
      </c>
      <c r="AF83" s="95">
        <f t="shared" si="11"/>
        <v>908.44</v>
      </c>
      <c r="AG83" s="61">
        <f t="shared" si="11"/>
        <v>2004.1900000000003</v>
      </c>
      <c r="AH83" s="47">
        <f>MAX(B83:AF83)</f>
        <v>1263.7400000000002</v>
      </c>
      <c r="AI83" s="48">
        <f>MIN(B83:AF83)</f>
        <v>908.44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50</v>
      </c>
      <c r="L84" s="97">
        <v>200</v>
      </c>
      <c r="M84" s="97">
        <v>200</v>
      </c>
      <c r="N84" s="97">
        <v>200</v>
      </c>
      <c r="O84" s="97">
        <v>200</v>
      </c>
      <c r="P84" s="97">
        <v>80</v>
      </c>
      <c r="Q84" s="97">
        <v>50</v>
      </c>
      <c r="R84" s="97">
        <v>50</v>
      </c>
      <c r="S84" s="97">
        <v>50</v>
      </c>
      <c r="T84" s="97">
        <v>50</v>
      </c>
      <c r="U84" s="97">
        <v>50</v>
      </c>
      <c r="V84" s="97">
        <v>50</v>
      </c>
      <c r="W84" s="97">
        <v>50</v>
      </c>
      <c r="X84" s="97">
        <v>50</v>
      </c>
      <c r="Y84" s="97">
        <v>70</v>
      </c>
      <c r="Z84" s="97">
        <v>70</v>
      </c>
      <c r="AA84" s="97">
        <v>70</v>
      </c>
      <c r="AB84" s="97">
        <v>70</v>
      </c>
      <c r="AC84" s="97">
        <v>30</v>
      </c>
      <c r="AD84" s="97"/>
      <c r="AE84" s="97"/>
      <c r="AF84" s="97"/>
      <c r="AG84" s="88"/>
      <c r="AH84" s="47">
        <f t="shared" si="8"/>
        <v>200</v>
      </c>
      <c r="AI84" s="48">
        <f t="shared" si="9"/>
        <v>30</v>
      </c>
    </row>
    <row r="85" spans="1:37" ht="15.75" thickBot="1" x14ac:dyDescent="0.3">
      <c r="A85" s="74" t="s">
        <v>96</v>
      </c>
      <c r="B85" s="95">
        <f>B83+B84</f>
        <v>951.54000000000008</v>
      </c>
      <c r="C85" s="95">
        <f t="shared" ref="C85:AF85" si="12">C83+C84</f>
        <v>961.54000000000008</v>
      </c>
      <c r="D85" s="95">
        <f t="shared" si="12"/>
        <v>941.54000000000008</v>
      </c>
      <c r="E85" s="95">
        <f t="shared" si="12"/>
        <v>916.44</v>
      </c>
      <c r="F85" s="95">
        <f t="shared" si="12"/>
        <v>942.34</v>
      </c>
      <c r="G85" s="95">
        <f t="shared" si="12"/>
        <v>1014.44</v>
      </c>
      <c r="H85" s="95">
        <f t="shared" si="12"/>
        <v>1045.24</v>
      </c>
      <c r="I85" s="95">
        <f t="shared" si="12"/>
        <v>1123.94</v>
      </c>
      <c r="J85" s="95">
        <f t="shared" si="12"/>
        <v>1206.99</v>
      </c>
      <c r="K85" s="95">
        <f t="shared" si="12"/>
        <v>1249.04</v>
      </c>
      <c r="L85" s="95">
        <f t="shared" si="12"/>
        <v>1380.74</v>
      </c>
      <c r="M85" s="95">
        <f t="shared" si="12"/>
        <v>1388.1399999999999</v>
      </c>
      <c r="N85" s="95">
        <f t="shared" si="12"/>
        <v>1318.3400000000001</v>
      </c>
      <c r="O85" s="95">
        <f t="shared" si="12"/>
        <v>1183.74</v>
      </c>
      <c r="P85" s="95">
        <f t="shared" si="12"/>
        <v>1130.44</v>
      </c>
      <c r="Q85" s="95">
        <f t="shared" si="12"/>
        <v>1096.1399999999999</v>
      </c>
      <c r="R85" s="95">
        <f t="shared" si="12"/>
        <v>1051.94</v>
      </c>
      <c r="S85" s="95">
        <f t="shared" si="12"/>
        <v>1059.54</v>
      </c>
      <c r="T85" s="95">
        <f t="shared" si="12"/>
        <v>1072.94</v>
      </c>
      <c r="U85" s="95">
        <f t="shared" si="12"/>
        <v>1065.3400000000001</v>
      </c>
      <c r="V85" s="95">
        <f t="shared" si="12"/>
        <v>1058.94</v>
      </c>
      <c r="W85" s="95">
        <f t="shared" si="12"/>
        <v>1094.04</v>
      </c>
      <c r="X85" s="95">
        <f t="shared" si="12"/>
        <v>1176.54</v>
      </c>
      <c r="Y85" s="95">
        <f t="shared" si="12"/>
        <v>1333.7400000000002</v>
      </c>
      <c r="Z85" s="95">
        <f t="shared" si="12"/>
        <v>1301.7399999999998</v>
      </c>
      <c r="AA85" s="95">
        <f t="shared" si="12"/>
        <v>1240.8399999999999</v>
      </c>
      <c r="AB85" s="95">
        <f t="shared" si="12"/>
        <v>1171.74</v>
      </c>
      <c r="AC85" s="95">
        <f t="shared" si="12"/>
        <v>1140.44</v>
      </c>
      <c r="AD85" s="95">
        <f t="shared" si="12"/>
        <v>1052.1400000000001</v>
      </c>
      <c r="AE85" s="95">
        <f t="shared" si="12"/>
        <v>998.24</v>
      </c>
      <c r="AF85" s="95">
        <f t="shared" si="12"/>
        <v>908.44</v>
      </c>
      <c r="AG85" s="88">
        <f>AG82+AG78+AG66+AG62+AG44+AG84</f>
        <v>1466.0900000000001</v>
      </c>
      <c r="AH85" s="47">
        <f t="shared" si="8"/>
        <v>1388.1399999999999</v>
      </c>
      <c r="AI85" s="48">
        <f t="shared" si="9"/>
        <v>908.44</v>
      </c>
    </row>
    <row r="86" spans="1:37" ht="15.75" thickBot="1" x14ac:dyDescent="0.3">
      <c r="A86" s="74" t="s">
        <v>97</v>
      </c>
      <c r="B86" s="95">
        <f t="shared" ref="B86:AF86" si="13">B85-B93</f>
        <v>951.54000000000008</v>
      </c>
      <c r="C86" s="95">
        <f t="shared" si="13"/>
        <v>961.54000000000008</v>
      </c>
      <c r="D86" s="95">
        <f t="shared" si="13"/>
        <v>941.54000000000008</v>
      </c>
      <c r="E86" s="95">
        <f t="shared" si="13"/>
        <v>916.44</v>
      </c>
      <c r="F86" s="95">
        <f t="shared" si="13"/>
        <v>942.34</v>
      </c>
      <c r="G86" s="95">
        <f t="shared" si="13"/>
        <v>1014.44</v>
      </c>
      <c r="H86" s="95">
        <f t="shared" si="13"/>
        <v>1045.24</v>
      </c>
      <c r="I86" s="95">
        <f t="shared" si="13"/>
        <v>1123.94</v>
      </c>
      <c r="J86" s="95">
        <f t="shared" si="13"/>
        <v>1206.99</v>
      </c>
      <c r="K86" s="95">
        <f t="shared" si="13"/>
        <v>1249.04</v>
      </c>
      <c r="L86" s="95">
        <f t="shared" si="13"/>
        <v>1380.74</v>
      </c>
      <c r="M86" s="95">
        <f t="shared" si="13"/>
        <v>1388.1399999999999</v>
      </c>
      <c r="N86" s="95">
        <f t="shared" si="13"/>
        <v>1318.3400000000001</v>
      </c>
      <c r="O86" s="95">
        <f t="shared" si="13"/>
        <v>1183.74</v>
      </c>
      <c r="P86" s="95">
        <f t="shared" si="13"/>
        <v>1130.44</v>
      </c>
      <c r="Q86" s="95">
        <f t="shared" si="13"/>
        <v>1096.1399999999999</v>
      </c>
      <c r="R86" s="95">
        <f t="shared" si="13"/>
        <v>1051.94</v>
      </c>
      <c r="S86" s="95">
        <f t="shared" si="13"/>
        <v>1059.54</v>
      </c>
      <c r="T86" s="95">
        <f t="shared" si="13"/>
        <v>1072.94</v>
      </c>
      <c r="U86" s="95">
        <f t="shared" si="13"/>
        <v>1065.3400000000001</v>
      </c>
      <c r="V86" s="95">
        <f t="shared" si="13"/>
        <v>1058.94</v>
      </c>
      <c r="W86" s="95">
        <f t="shared" si="13"/>
        <v>1094.04</v>
      </c>
      <c r="X86" s="95">
        <f t="shared" si="13"/>
        <v>1176.54</v>
      </c>
      <c r="Y86" s="95">
        <f t="shared" si="13"/>
        <v>1333.7400000000002</v>
      </c>
      <c r="Z86" s="95">
        <f t="shared" si="13"/>
        <v>1301.7399999999998</v>
      </c>
      <c r="AA86" s="95">
        <f t="shared" si="13"/>
        <v>1240.8399999999999</v>
      </c>
      <c r="AB86" s="95">
        <f t="shared" si="13"/>
        <v>1171.74</v>
      </c>
      <c r="AC86" s="95">
        <f t="shared" si="13"/>
        <v>1140.44</v>
      </c>
      <c r="AD86" s="95">
        <f t="shared" si="13"/>
        <v>1052.1400000000001</v>
      </c>
      <c r="AE86" s="95">
        <f t="shared" si="13"/>
        <v>998.24</v>
      </c>
      <c r="AF86" s="95">
        <f t="shared" si="13"/>
        <v>908.44</v>
      </c>
      <c r="AG86" s="88"/>
      <c r="AH86" s="47">
        <f t="shared" si="8"/>
        <v>1388.1399999999999</v>
      </c>
      <c r="AI86" s="48">
        <f t="shared" si="9"/>
        <v>908.44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431</v>
      </c>
      <c r="C94" s="60">
        <f t="shared" si="14"/>
        <v>441</v>
      </c>
      <c r="D94" s="60">
        <f t="shared" si="14"/>
        <v>421</v>
      </c>
      <c r="E94" s="60">
        <f t="shared" si="14"/>
        <v>418</v>
      </c>
      <c r="F94" s="60">
        <f t="shared" si="14"/>
        <v>414.5</v>
      </c>
      <c r="G94" s="60">
        <f t="shared" si="14"/>
        <v>431</v>
      </c>
      <c r="H94" s="60">
        <f t="shared" si="14"/>
        <v>423.4</v>
      </c>
      <c r="I94" s="60">
        <f t="shared" si="14"/>
        <v>485</v>
      </c>
      <c r="J94" s="60">
        <f t="shared" si="14"/>
        <v>228.05</v>
      </c>
      <c r="K94" s="60">
        <f t="shared" si="14"/>
        <v>209.5</v>
      </c>
      <c r="L94" s="60">
        <f t="shared" si="14"/>
        <v>180.9</v>
      </c>
      <c r="M94" s="60">
        <f t="shared" si="14"/>
        <v>200.6</v>
      </c>
      <c r="N94" s="60">
        <f t="shared" si="14"/>
        <v>226.2</v>
      </c>
      <c r="O94" s="60">
        <f t="shared" si="14"/>
        <v>234.3</v>
      </c>
      <c r="P94" s="60">
        <f t="shared" si="14"/>
        <v>312</v>
      </c>
      <c r="Q94" s="60">
        <f t="shared" si="14"/>
        <v>429.4</v>
      </c>
      <c r="R94" s="60">
        <f t="shared" si="14"/>
        <v>390.3</v>
      </c>
      <c r="S94" s="60">
        <f t="shared" si="14"/>
        <v>446.7</v>
      </c>
      <c r="T94" s="60">
        <f t="shared" si="14"/>
        <v>451.7</v>
      </c>
      <c r="U94" s="60">
        <f t="shared" si="14"/>
        <v>447.1</v>
      </c>
      <c r="V94" s="60">
        <f t="shared" si="14"/>
        <v>379.90000000000003</v>
      </c>
      <c r="W94" s="60">
        <f t="shared" si="14"/>
        <v>392.2</v>
      </c>
      <c r="X94" s="60">
        <f t="shared" si="14"/>
        <v>357.3</v>
      </c>
      <c r="Y94" s="60">
        <f t="shared" si="14"/>
        <v>259.10000000000002</v>
      </c>
      <c r="Z94" s="60">
        <f t="shared" si="14"/>
        <v>139.60000000000002</v>
      </c>
      <c r="AA94" s="60">
        <f t="shared" si="14"/>
        <v>128.19999999999999</v>
      </c>
      <c r="AB94" s="60">
        <f t="shared" si="14"/>
        <v>234.2</v>
      </c>
      <c r="AC94" s="60">
        <f t="shared" si="14"/>
        <v>287.3</v>
      </c>
      <c r="AD94" s="60">
        <f t="shared" si="14"/>
        <v>288.7</v>
      </c>
      <c r="AE94" s="60">
        <f t="shared" si="14"/>
        <v>474.7</v>
      </c>
      <c r="AF94" s="60">
        <f t="shared" si="14"/>
        <v>389.5</v>
      </c>
      <c r="AG94" s="88"/>
      <c r="AH94" s="47">
        <f t="shared" si="8"/>
        <v>485</v>
      </c>
      <c r="AI94" s="48">
        <f t="shared" si="9"/>
        <v>128.19999999999999</v>
      </c>
    </row>
    <row r="95" spans="1:37" x14ac:dyDescent="0.25">
      <c r="A95" s="100" t="s">
        <v>103</v>
      </c>
      <c r="B95" s="101">
        <v>50.054000000000002</v>
      </c>
      <c r="C95" s="101">
        <v>49.945999999999998</v>
      </c>
      <c r="D95" s="101">
        <v>49.929000000000002</v>
      </c>
      <c r="E95" s="101">
        <v>50.012</v>
      </c>
      <c r="F95" s="101">
        <v>49.912999999999997</v>
      </c>
      <c r="G95" s="101">
        <v>49.923999999999999</v>
      </c>
      <c r="H95" s="101">
        <v>50.034999999999997</v>
      </c>
      <c r="I95" s="101">
        <v>50.5</v>
      </c>
      <c r="J95" s="101">
        <v>49.994</v>
      </c>
      <c r="K95" s="101">
        <v>50</v>
      </c>
      <c r="L95" s="101">
        <v>49.978999999999999</v>
      </c>
      <c r="M95" s="101">
        <v>50.097999999999999</v>
      </c>
      <c r="N95" s="101">
        <v>50.008000000000003</v>
      </c>
      <c r="O95" s="101">
        <v>50.008000000000003</v>
      </c>
      <c r="P95" s="101">
        <v>50.036999999999999</v>
      </c>
      <c r="Q95" s="101">
        <v>50.040999999999997</v>
      </c>
      <c r="R95" s="101">
        <v>49.984000000000002</v>
      </c>
      <c r="S95" s="101">
        <v>49.881999999999998</v>
      </c>
      <c r="T95" s="101">
        <v>49.929000000000002</v>
      </c>
      <c r="U95" s="101">
        <v>49.96</v>
      </c>
      <c r="V95" s="101">
        <v>49.933999999999997</v>
      </c>
      <c r="W95" s="101">
        <v>49.923999999999999</v>
      </c>
      <c r="X95" s="101">
        <v>50.024999999999999</v>
      </c>
      <c r="Y95" s="101">
        <v>50.061</v>
      </c>
      <c r="Z95" s="101">
        <v>49.915999999999997</v>
      </c>
      <c r="AA95" s="101">
        <v>49.921999999999997</v>
      </c>
      <c r="AB95" s="101">
        <v>50.08</v>
      </c>
      <c r="AC95" s="101">
        <v>49.93</v>
      </c>
      <c r="AD95" s="101">
        <v>50.08</v>
      </c>
      <c r="AE95" s="101">
        <v>49.92</v>
      </c>
      <c r="AF95" s="101">
        <v>49.85</v>
      </c>
      <c r="AG95" s="102"/>
      <c r="AH95" s="47">
        <f t="shared" si="8"/>
        <v>50.5</v>
      </c>
      <c r="AI95" s="48">
        <f t="shared" si="9"/>
        <v>49.85</v>
      </c>
    </row>
    <row r="96" spans="1:37" x14ac:dyDescent="0.25">
      <c r="A96" s="103" t="s">
        <v>104</v>
      </c>
      <c r="B96" s="65">
        <v>130.80000000000001</v>
      </c>
      <c r="C96" s="65">
        <v>130.69999999999999</v>
      </c>
      <c r="D96" s="65">
        <v>128.5</v>
      </c>
      <c r="E96" s="65">
        <v>128.5</v>
      </c>
      <c r="F96" s="65">
        <v>128.5</v>
      </c>
      <c r="G96" s="65">
        <v>127</v>
      </c>
      <c r="H96" s="65">
        <v>127</v>
      </c>
      <c r="I96" s="65">
        <v>128</v>
      </c>
      <c r="J96" s="65">
        <v>128</v>
      </c>
      <c r="K96" s="65">
        <v>128</v>
      </c>
      <c r="L96" s="65">
        <v>128</v>
      </c>
      <c r="M96" s="65">
        <v>127.3</v>
      </c>
      <c r="N96" s="65">
        <v>129</v>
      </c>
      <c r="O96" s="65">
        <v>129</v>
      </c>
      <c r="P96" s="65">
        <v>130</v>
      </c>
      <c r="Q96" s="65">
        <v>127</v>
      </c>
      <c r="R96" s="65">
        <v>127</v>
      </c>
      <c r="S96" s="65">
        <v>129.30000000000001</v>
      </c>
      <c r="T96" s="65">
        <v>129.1</v>
      </c>
      <c r="U96" s="65">
        <v>129.30000000000001</v>
      </c>
      <c r="V96" s="65">
        <v>131</v>
      </c>
      <c r="W96" s="65">
        <v>131</v>
      </c>
      <c r="X96" s="65">
        <v>130.9</v>
      </c>
      <c r="Y96" s="65">
        <v>130.30000000000001</v>
      </c>
      <c r="Z96" s="65">
        <v>129.6</v>
      </c>
      <c r="AA96" s="65">
        <v>130.5</v>
      </c>
      <c r="AB96" s="65">
        <v>131.19999999999999</v>
      </c>
      <c r="AC96" s="65">
        <v>130.69999999999999</v>
      </c>
      <c r="AD96" s="65">
        <v>131.6</v>
      </c>
      <c r="AE96" s="65">
        <v>130</v>
      </c>
      <c r="AF96" s="65">
        <v>128.69999999999999</v>
      </c>
      <c r="AG96" s="104"/>
      <c r="AH96" s="47">
        <f t="shared" si="8"/>
        <v>131.6</v>
      </c>
      <c r="AI96" s="48">
        <f t="shared" si="9"/>
        <v>127</v>
      </c>
    </row>
    <row r="97" spans="1:35" x14ac:dyDescent="0.25">
      <c r="A97" s="103" t="s">
        <v>105</v>
      </c>
      <c r="B97" s="65">
        <v>133.69999999999999</v>
      </c>
      <c r="C97" s="65">
        <v>133.4</v>
      </c>
      <c r="D97" s="65">
        <v>132.4</v>
      </c>
      <c r="E97" s="65">
        <v>132.4</v>
      </c>
      <c r="F97" s="65">
        <v>132.4</v>
      </c>
      <c r="G97" s="65">
        <v>131</v>
      </c>
      <c r="H97" s="65">
        <v>131</v>
      </c>
      <c r="I97" s="65">
        <v>131</v>
      </c>
      <c r="J97" s="65">
        <v>131</v>
      </c>
      <c r="K97" s="65">
        <v>131</v>
      </c>
      <c r="L97" s="65">
        <v>131</v>
      </c>
      <c r="M97" s="65">
        <v>129.69999999999999</v>
      </c>
      <c r="N97" s="65">
        <v>131.4</v>
      </c>
      <c r="O97" s="65">
        <v>131.4</v>
      </c>
      <c r="P97" s="65">
        <v>132.19999999999999</v>
      </c>
      <c r="Q97" s="65">
        <v>130</v>
      </c>
      <c r="R97" s="65">
        <v>130</v>
      </c>
      <c r="S97" s="65">
        <v>131.80000000000001</v>
      </c>
      <c r="T97" s="65">
        <v>131.9</v>
      </c>
      <c r="U97" s="65">
        <v>132.30000000000001</v>
      </c>
      <c r="V97" s="65">
        <v>133.5</v>
      </c>
      <c r="W97" s="65">
        <v>133.5</v>
      </c>
      <c r="X97" s="65">
        <v>132.9</v>
      </c>
      <c r="Y97" s="65">
        <v>132.19999999999999</v>
      </c>
      <c r="Z97" s="65">
        <v>131.4</v>
      </c>
      <c r="AA97" s="65">
        <v>132.4</v>
      </c>
      <c r="AB97" s="65">
        <v>133.19999999999999</v>
      </c>
      <c r="AC97" s="65">
        <v>132.69999999999999</v>
      </c>
      <c r="AD97" s="65">
        <v>133.69999999999999</v>
      </c>
      <c r="AE97" s="65">
        <v>132.6</v>
      </c>
      <c r="AF97" s="65">
        <v>131.9</v>
      </c>
      <c r="AG97" s="104"/>
      <c r="AH97" s="47">
        <f t="shared" si="8"/>
        <v>133.69999999999999</v>
      </c>
      <c r="AI97" s="48">
        <f t="shared" si="9"/>
        <v>129.69999999999999</v>
      </c>
    </row>
    <row r="98" spans="1:35" x14ac:dyDescent="0.25">
      <c r="A98" s="103" t="s">
        <v>106</v>
      </c>
      <c r="B98" s="65">
        <v>131.80000000000001</v>
      </c>
      <c r="C98" s="65">
        <v>131.69999999999999</v>
      </c>
      <c r="D98" s="65">
        <v>131.1</v>
      </c>
      <c r="E98" s="65">
        <v>131.1</v>
      </c>
      <c r="F98" s="65">
        <v>131.1</v>
      </c>
      <c r="G98" s="65">
        <v>131</v>
      </c>
      <c r="H98" s="65">
        <v>131</v>
      </c>
      <c r="I98" s="65">
        <v>130</v>
      </c>
      <c r="J98" s="65">
        <v>130</v>
      </c>
      <c r="K98" s="65">
        <v>130</v>
      </c>
      <c r="L98" s="65">
        <v>130</v>
      </c>
      <c r="M98" s="65">
        <v>129.1</v>
      </c>
      <c r="N98" s="65">
        <v>131.80000000000001</v>
      </c>
      <c r="O98" s="65">
        <v>131.80000000000001</v>
      </c>
      <c r="P98" s="65">
        <v>130.6</v>
      </c>
      <c r="Q98" s="65">
        <v>128</v>
      </c>
      <c r="R98" s="65">
        <v>130</v>
      </c>
      <c r="S98" s="65">
        <v>127.5</v>
      </c>
      <c r="T98" s="65">
        <v>128.9</v>
      </c>
      <c r="U98" s="65">
        <v>129.9</v>
      </c>
      <c r="V98" s="65">
        <v>131.5</v>
      </c>
      <c r="W98" s="65">
        <v>131.5</v>
      </c>
      <c r="X98" s="65">
        <v>130</v>
      </c>
      <c r="Y98" s="65">
        <v>128</v>
      </c>
      <c r="Z98" s="65">
        <v>131.9</v>
      </c>
      <c r="AA98" s="65">
        <v>133.4</v>
      </c>
      <c r="AB98" s="65">
        <v>130</v>
      </c>
      <c r="AC98" s="65">
        <v>127.3</v>
      </c>
      <c r="AD98" s="65">
        <v>127.9</v>
      </c>
      <c r="AE98" s="65">
        <v>129.30000000000001</v>
      </c>
      <c r="AF98" s="65">
        <v>129.6</v>
      </c>
      <c r="AG98" s="104"/>
      <c r="AH98" s="47">
        <f t="shared" si="8"/>
        <v>133.4</v>
      </c>
      <c r="AI98" s="48">
        <f t="shared" si="9"/>
        <v>127.3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133</v>
      </c>
      <c r="C100" s="106">
        <v>130</v>
      </c>
      <c r="D100" s="106">
        <v>132.80000000000001</v>
      </c>
      <c r="E100" s="106">
        <v>132.80000000000001</v>
      </c>
      <c r="F100" s="106">
        <v>132.80000000000001</v>
      </c>
      <c r="G100" s="106">
        <v>131</v>
      </c>
      <c r="H100" s="106">
        <v>131</v>
      </c>
      <c r="I100" s="106">
        <v>130</v>
      </c>
      <c r="J100" s="106">
        <v>130</v>
      </c>
      <c r="K100" s="106">
        <v>130</v>
      </c>
      <c r="L100" s="106">
        <v>130</v>
      </c>
      <c r="M100" s="106">
        <v>133.6</v>
      </c>
      <c r="N100" s="106">
        <v>135.30000000000001</v>
      </c>
      <c r="O100" s="106">
        <v>135.30000000000001</v>
      </c>
      <c r="P100" s="106">
        <v>134.19999999999999</v>
      </c>
      <c r="Q100" s="106">
        <v>131</v>
      </c>
      <c r="R100" s="106">
        <v>131</v>
      </c>
      <c r="S100" s="106">
        <v>135.30000000000001</v>
      </c>
      <c r="T100" s="106">
        <v>135.4</v>
      </c>
      <c r="U100" s="106">
        <v>134.6</v>
      </c>
      <c r="V100" s="106">
        <v>135.19999999999999</v>
      </c>
      <c r="W100" s="106">
        <v>135.19999999999999</v>
      </c>
      <c r="X100" s="106">
        <v>135.5</v>
      </c>
      <c r="Y100" s="106">
        <v>135</v>
      </c>
      <c r="Z100" s="106">
        <v>135.69999999999999</v>
      </c>
      <c r="AA100" s="106">
        <v>136.19999999999999</v>
      </c>
      <c r="AB100" s="106">
        <v>137.19999999999999</v>
      </c>
      <c r="AC100" s="106">
        <v>140.30000000000001</v>
      </c>
      <c r="AD100" s="106">
        <v>134.5</v>
      </c>
      <c r="AE100" s="106">
        <v>131.4</v>
      </c>
      <c r="AF100" s="106">
        <v>129.19999999999999</v>
      </c>
      <c r="AG100" s="107"/>
      <c r="AH100" s="47">
        <f t="shared" si="8"/>
        <v>140.30000000000001</v>
      </c>
      <c r="AI100" s="48">
        <f t="shared" si="9"/>
        <v>129.19999999999999</v>
      </c>
    </row>
    <row r="101" spans="1:35" x14ac:dyDescent="0.25">
      <c r="A101" s="103" t="s">
        <v>109</v>
      </c>
      <c r="B101" s="65">
        <v>132.5</v>
      </c>
      <c r="C101" s="65">
        <v>131.5</v>
      </c>
      <c r="D101" s="65">
        <v>135.5</v>
      </c>
      <c r="E101" s="65">
        <v>135.5</v>
      </c>
      <c r="F101" s="65">
        <v>135.5</v>
      </c>
      <c r="G101" s="65">
        <v>130</v>
      </c>
      <c r="H101" s="65">
        <v>130</v>
      </c>
      <c r="I101" s="65">
        <v>129</v>
      </c>
      <c r="J101" s="65">
        <v>129</v>
      </c>
      <c r="K101" s="65">
        <v>129</v>
      </c>
      <c r="L101" s="65">
        <v>129</v>
      </c>
      <c r="M101" s="65">
        <v>130.5</v>
      </c>
      <c r="N101" s="65">
        <v>131.19999999999999</v>
      </c>
      <c r="O101" s="65">
        <v>131.19999999999999</v>
      </c>
      <c r="P101" s="65">
        <v>132.5</v>
      </c>
      <c r="Q101" s="65">
        <v>131</v>
      </c>
      <c r="R101" s="65">
        <v>128</v>
      </c>
      <c r="S101" s="65">
        <v>133.19999999999999</v>
      </c>
      <c r="T101" s="65">
        <v>132.80000000000001</v>
      </c>
      <c r="U101" s="65">
        <v>132.4</v>
      </c>
      <c r="V101" s="65">
        <v>134.9</v>
      </c>
      <c r="W101" s="65">
        <v>134.9</v>
      </c>
      <c r="X101" s="65">
        <v>133.69999999999999</v>
      </c>
      <c r="Y101" s="65">
        <v>133.30000000000001</v>
      </c>
      <c r="Z101" s="65">
        <v>134.19999999999999</v>
      </c>
      <c r="AA101" s="65">
        <v>133.9</v>
      </c>
      <c r="AB101" s="65">
        <v>135.80000000000001</v>
      </c>
      <c r="AC101" s="65">
        <v>134.4</v>
      </c>
      <c r="AD101" s="65">
        <v>134.6</v>
      </c>
      <c r="AE101" s="65">
        <v>131.5</v>
      </c>
      <c r="AF101" s="65">
        <v>129.1</v>
      </c>
      <c r="AG101" s="104"/>
      <c r="AH101" s="47">
        <f t="shared" si="8"/>
        <v>135.80000000000001</v>
      </c>
      <c r="AI101" s="48">
        <f t="shared" si="9"/>
        <v>128</v>
      </c>
    </row>
    <row r="102" spans="1:35" ht="15.75" thickBot="1" x14ac:dyDescent="0.3">
      <c r="A102" s="103" t="s">
        <v>110</v>
      </c>
      <c r="B102" s="92">
        <v>67.7</v>
      </c>
      <c r="C102" s="92">
        <v>67.400000000000006</v>
      </c>
      <c r="D102" s="92">
        <v>67.2</v>
      </c>
      <c r="E102" s="92">
        <v>67.2</v>
      </c>
      <c r="F102" s="92">
        <v>67.2</v>
      </c>
      <c r="G102" s="92">
        <v>66.5</v>
      </c>
      <c r="H102" s="92">
        <v>66.5</v>
      </c>
      <c r="I102" s="92">
        <v>66</v>
      </c>
      <c r="J102" s="92">
        <v>66</v>
      </c>
      <c r="K102" s="92">
        <v>66</v>
      </c>
      <c r="L102" s="92">
        <v>66</v>
      </c>
      <c r="M102" s="92">
        <v>64.599999999999994</v>
      </c>
      <c r="N102" s="92">
        <v>65.8</v>
      </c>
      <c r="O102" s="92">
        <v>65.8</v>
      </c>
      <c r="P102" s="92">
        <v>66.3</v>
      </c>
      <c r="Q102" s="92">
        <v>65.3</v>
      </c>
      <c r="R102" s="92">
        <v>65.3</v>
      </c>
      <c r="S102" s="92">
        <v>66</v>
      </c>
      <c r="T102" s="92">
        <v>66</v>
      </c>
      <c r="U102" s="92">
        <v>66.2</v>
      </c>
      <c r="V102" s="92">
        <v>66.900000000000006</v>
      </c>
      <c r="W102" s="92">
        <v>66.900000000000006</v>
      </c>
      <c r="X102" s="92">
        <v>66.7</v>
      </c>
      <c r="Y102" s="92">
        <v>66.400000000000006</v>
      </c>
      <c r="Z102" s="92">
        <v>65.900000000000006</v>
      </c>
      <c r="AA102" s="92">
        <v>66.400000000000006</v>
      </c>
      <c r="AB102" s="92">
        <v>66.900000000000006</v>
      </c>
      <c r="AC102" s="92">
        <v>66.3</v>
      </c>
      <c r="AD102" s="92">
        <v>66.900000000000006</v>
      </c>
      <c r="AE102" s="92">
        <v>66.400000000000006</v>
      </c>
      <c r="AF102" s="92">
        <v>66.099999999999994</v>
      </c>
      <c r="AG102" s="108"/>
      <c r="AH102" s="47">
        <f t="shared" si="8"/>
        <v>67.7</v>
      </c>
      <c r="AI102" s="48">
        <f t="shared" si="9"/>
        <v>64.599999999999994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125.6</v>
      </c>
      <c r="C104" s="111">
        <f t="shared" si="15"/>
        <v>115.94000000000001</v>
      </c>
      <c r="D104" s="111">
        <f t="shared" si="15"/>
        <v>119.74000000000001</v>
      </c>
      <c r="E104" s="111">
        <f t="shared" si="15"/>
        <v>112.64</v>
      </c>
      <c r="F104" s="111">
        <f t="shared" si="15"/>
        <v>116.53999999999999</v>
      </c>
      <c r="G104" s="111">
        <f t="shared" si="15"/>
        <v>145.13999999999999</v>
      </c>
      <c r="H104" s="111">
        <f t="shared" si="15"/>
        <v>162.33999999999997</v>
      </c>
      <c r="I104" s="111">
        <f t="shared" si="15"/>
        <v>196.64</v>
      </c>
      <c r="J104" s="111">
        <f t="shared" si="15"/>
        <v>231.34</v>
      </c>
      <c r="K104" s="111">
        <f t="shared" si="15"/>
        <v>260.54000000000002</v>
      </c>
      <c r="L104" s="111">
        <f t="shared" si="15"/>
        <v>295.94</v>
      </c>
      <c r="M104" s="111">
        <f t="shared" si="15"/>
        <v>321.23999999999995</v>
      </c>
      <c r="N104" s="111">
        <f t="shared" si="15"/>
        <v>319.33999999999997</v>
      </c>
      <c r="O104" s="111">
        <f t="shared" si="15"/>
        <v>319.33999999999997</v>
      </c>
      <c r="P104" s="111">
        <v>42</v>
      </c>
      <c r="Q104" s="111">
        <f t="shared" si="15"/>
        <v>229.1</v>
      </c>
      <c r="R104" s="111">
        <f t="shared" si="15"/>
        <v>279.10000000000002</v>
      </c>
      <c r="S104" s="111">
        <f t="shared" si="15"/>
        <v>197.29999999999998</v>
      </c>
      <c r="T104" s="111">
        <f t="shared" si="15"/>
        <v>194.89999999999998</v>
      </c>
      <c r="U104" s="111">
        <f t="shared" si="15"/>
        <v>199.2</v>
      </c>
      <c r="V104" s="111">
        <f t="shared" si="15"/>
        <v>213.29999999999998</v>
      </c>
      <c r="W104" s="111">
        <f t="shared" si="15"/>
        <v>261.39999999999998</v>
      </c>
      <c r="X104" s="111">
        <f t="shared" si="15"/>
        <v>281.2</v>
      </c>
      <c r="Y104" s="111">
        <f t="shared" si="15"/>
        <v>325</v>
      </c>
      <c r="Z104" s="111">
        <f t="shared" si="15"/>
        <v>318.69999999999993</v>
      </c>
      <c r="AA104" s="111">
        <f t="shared" si="15"/>
        <v>304.10000000000002</v>
      </c>
      <c r="AB104" s="111">
        <f t="shared" si="15"/>
        <v>283.8</v>
      </c>
      <c r="AC104" s="111">
        <f t="shared" si="15"/>
        <v>217</v>
      </c>
      <c r="AD104" s="111">
        <f t="shared" si="15"/>
        <v>241.5</v>
      </c>
      <c r="AE104" s="111">
        <f t="shared" si="15"/>
        <v>191.3</v>
      </c>
      <c r="AF104" s="111">
        <f t="shared" si="15"/>
        <v>139.4</v>
      </c>
      <c r="AG104" s="112"/>
      <c r="AH104" s="47">
        <f t="shared" si="8"/>
        <v>325</v>
      </c>
      <c r="AI104" s="48">
        <f t="shared" si="9"/>
        <v>42</v>
      </c>
    </row>
    <row r="105" spans="1:35" x14ac:dyDescent="0.25">
      <c r="A105" s="100" t="s">
        <v>113</v>
      </c>
      <c r="B105" s="113">
        <v>-30.9</v>
      </c>
      <c r="C105" s="113">
        <v>-29.3</v>
      </c>
      <c r="D105" s="113">
        <v>-26.3</v>
      </c>
      <c r="E105" s="113">
        <v>-26.6</v>
      </c>
      <c r="F105" s="113">
        <v>-28.3</v>
      </c>
      <c r="G105" s="113">
        <v>-15.6</v>
      </c>
      <c r="H105" s="113">
        <v>-13.5</v>
      </c>
      <c r="I105" s="113">
        <v>-13.2</v>
      </c>
      <c r="J105" s="113">
        <v>9.3000000000000007</v>
      </c>
      <c r="K105" s="113">
        <v>16.600000000000001</v>
      </c>
      <c r="L105" s="113">
        <v>21.5</v>
      </c>
      <c r="M105" s="113">
        <v>20</v>
      </c>
      <c r="N105" s="113">
        <v>18</v>
      </c>
      <c r="O105" s="113">
        <v>18</v>
      </c>
      <c r="P105" s="113">
        <v>16.399999999999999</v>
      </c>
      <c r="Q105" s="113">
        <v>-16</v>
      </c>
      <c r="R105" s="113">
        <v>-28</v>
      </c>
      <c r="S105" s="113">
        <v>-13.2</v>
      </c>
      <c r="T105" s="113">
        <v>-13.9</v>
      </c>
      <c r="U105" s="113">
        <v>-9.9</v>
      </c>
      <c r="V105" s="113">
        <v>15.8</v>
      </c>
      <c r="W105" s="113">
        <v>23.2</v>
      </c>
      <c r="X105" s="113">
        <v>40.799999999999997</v>
      </c>
      <c r="Y105" s="113">
        <v>44.3</v>
      </c>
      <c r="Z105" s="113">
        <v>43.8</v>
      </c>
      <c r="AA105" s="113">
        <v>47.2</v>
      </c>
      <c r="AB105" s="113">
        <v>52.7</v>
      </c>
      <c r="AC105" s="113">
        <v>41.3</v>
      </c>
      <c r="AD105" s="113">
        <v>32.4</v>
      </c>
      <c r="AE105" s="113">
        <v>-13.4</v>
      </c>
      <c r="AF105" s="113">
        <v>-24.5</v>
      </c>
      <c r="AG105" s="114">
        <v>75</v>
      </c>
      <c r="AH105" s="47">
        <f t="shared" si="8"/>
        <v>52.7</v>
      </c>
      <c r="AI105" s="48">
        <f t="shared" si="9"/>
        <v>-30.9</v>
      </c>
    </row>
    <row r="106" spans="1:35" x14ac:dyDescent="0.25">
      <c r="A106" s="103" t="s">
        <v>114</v>
      </c>
      <c r="B106" s="115">
        <v>-36.4</v>
      </c>
      <c r="C106" s="115">
        <v>-35.799999999999997</v>
      </c>
      <c r="D106" s="115">
        <v>-34.200000000000003</v>
      </c>
      <c r="E106" s="115">
        <v>-33</v>
      </c>
      <c r="F106" s="115">
        <v>-38.1</v>
      </c>
      <c r="G106" s="115">
        <v>-18.2</v>
      </c>
      <c r="H106" s="115">
        <v>-16.2</v>
      </c>
      <c r="I106" s="115">
        <v>-16.5</v>
      </c>
      <c r="J106" s="115">
        <v>14.9</v>
      </c>
      <c r="K106" s="115">
        <v>20.2</v>
      </c>
      <c r="L106" s="115">
        <v>23.6</v>
      </c>
      <c r="M106" s="115">
        <v>20</v>
      </c>
      <c r="N106" s="115">
        <v>21.3</v>
      </c>
      <c r="O106" s="115">
        <v>21.3</v>
      </c>
      <c r="P106" s="115">
        <v>29.1</v>
      </c>
      <c r="Q106" s="115">
        <v>-15</v>
      </c>
      <c r="R106" s="115">
        <v>34</v>
      </c>
      <c r="S106" s="115">
        <v>-12.9</v>
      </c>
      <c r="T106" s="115">
        <v>-13.4</v>
      </c>
      <c r="U106" s="115">
        <v>-11.9</v>
      </c>
      <c r="V106" s="115">
        <v>17.399999999999999</v>
      </c>
      <c r="W106" s="115">
        <v>27.6</v>
      </c>
      <c r="X106" s="115">
        <v>51.2</v>
      </c>
      <c r="Y106" s="115">
        <v>57.3</v>
      </c>
      <c r="Z106" s="115">
        <v>56.5</v>
      </c>
      <c r="AA106" s="115">
        <v>61.6</v>
      </c>
      <c r="AB106" s="115">
        <v>70</v>
      </c>
      <c r="AC106" s="115">
        <v>53.9</v>
      </c>
      <c r="AD106" s="115">
        <v>41.3</v>
      </c>
      <c r="AE106" s="115">
        <v>-22.2</v>
      </c>
      <c r="AF106" s="115">
        <v>-31.9</v>
      </c>
      <c r="AG106" s="114">
        <v>240</v>
      </c>
      <c r="AH106" s="47">
        <f t="shared" si="8"/>
        <v>70</v>
      </c>
      <c r="AI106" s="48">
        <f t="shared" si="9"/>
        <v>-38.1</v>
      </c>
    </row>
    <row r="107" spans="1:35" x14ac:dyDescent="0.25">
      <c r="A107" s="103" t="s">
        <v>115</v>
      </c>
      <c r="B107" s="115">
        <v>4.5</v>
      </c>
      <c r="C107" s="115">
        <v>0.5</v>
      </c>
      <c r="D107" s="115">
        <v>-11</v>
      </c>
      <c r="E107" s="115">
        <v>-15</v>
      </c>
      <c r="F107" s="115">
        <v>-8.1999999999999993</v>
      </c>
      <c r="G107" s="115">
        <v>-16</v>
      </c>
      <c r="H107" s="115">
        <v>-4</v>
      </c>
      <c r="I107" s="115">
        <v>19</v>
      </c>
      <c r="J107" s="115">
        <v>5</v>
      </c>
      <c r="K107" s="115">
        <v>14</v>
      </c>
      <c r="L107" s="115">
        <v>27</v>
      </c>
      <c r="M107" s="115">
        <v>44</v>
      </c>
      <c r="N107" s="115">
        <v>32</v>
      </c>
      <c r="O107" s="115">
        <v>32</v>
      </c>
      <c r="P107" s="115">
        <v>11</v>
      </c>
      <c r="Q107" s="115">
        <v>32</v>
      </c>
      <c r="R107" s="115">
        <v>34</v>
      </c>
      <c r="S107" s="115">
        <v>16</v>
      </c>
      <c r="T107" s="115">
        <v>15.6</v>
      </c>
      <c r="U107" s="115">
        <v>18.8</v>
      </c>
      <c r="V107" s="115">
        <v>3.4</v>
      </c>
      <c r="W107" s="115">
        <v>16</v>
      </c>
      <c r="X107" s="115">
        <v>8.6</v>
      </c>
      <c r="Y107" s="115">
        <v>15.3</v>
      </c>
      <c r="Z107" s="115">
        <v>12.7</v>
      </c>
      <c r="AA107" s="115">
        <v>4.7</v>
      </c>
      <c r="AB107" s="115">
        <f>-2.2-2.8</f>
        <v>-5</v>
      </c>
      <c r="AC107" s="115">
        <v>0</v>
      </c>
      <c r="AD107" s="115">
        <f>-1.3-1.6</f>
        <v>-2.9000000000000004</v>
      </c>
      <c r="AE107" s="115">
        <f>8.9+10.4</f>
        <v>19.3</v>
      </c>
      <c r="AF107" s="115">
        <f>-1.8-1.7</f>
        <v>-3.5</v>
      </c>
      <c r="AG107" s="114">
        <v>240</v>
      </c>
      <c r="AH107" s="47">
        <f t="shared" si="8"/>
        <v>44</v>
      </c>
      <c r="AI107" s="48">
        <f t="shared" si="9"/>
        <v>-16</v>
      </c>
    </row>
    <row r="108" spans="1:35" x14ac:dyDescent="0.25">
      <c r="A108" s="103" t="s">
        <v>116</v>
      </c>
      <c r="B108" s="115">
        <v>0</v>
      </c>
      <c r="C108" s="115">
        <v>-2.2999999999999998</v>
      </c>
      <c r="D108" s="115">
        <v>-4.2</v>
      </c>
      <c r="E108" s="115">
        <v>-3.2</v>
      </c>
      <c r="F108" s="115">
        <v>-1.3</v>
      </c>
      <c r="G108" s="115">
        <v>-0.4</v>
      </c>
      <c r="H108" s="115">
        <v>2</v>
      </c>
      <c r="I108" s="115">
        <v>5.5</v>
      </c>
      <c r="J108" s="115">
        <v>7.9</v>
      </c>
      <c r="K108" s="115">
        <v>13.4</v>
      </c>
      <c r="L108" s="115">
        <v>16.399999999999999</v>
      </c>
      <c r="M108" s="115">
        <v>22.2</v>
      </c>
      <c r="N108" s="115">
        <v>20</v>
      </c>
      <c r="O108" s="115">
        <v>20</v>
      </c>
      <c r="P108" s="115">
        <v>12</v>
      </c>
      <c r="Q108" s="115">
        <v>10</v>
      </c>
      <c r="R108" s="115">
        <v>13</v>
      </c>
      <c r="S108" s="115">
        <v>7.8</v>
      </c>
      <c r="T108" s="115">
        <v>10.1</v>
      </c>
      <c r="U108" s="115">
        <v>6.8</v>
      </c>
      <c r="V108" s="115">
        <v>9.1</v>
      </c>
      <c r="W108" s="115">
        <v>15.3</v>
      </c>
      <c r="X108" s="115">
        <v>16.899999999999999</v>
      </c>
      <c r="Y108" s="115">
        <v>19.100000000000001</v>
      </c>
      <c r="Z108" s="115">
        <v>18.600000000000001</v>
      </c>
      <c r="AA108" s="115">
        <v>17.3</v>
      </c>
      <c r="AB108" s="115">
        <v>16</v>
      </c>
      <c r="AC108" s="115">
        <f>1.3+1.1</f>
        <v>2.4000000000000004</v>
      </c>
      <c r="AD108" s="115">
        <v>11.2</v>
      </c>
      <c r="AE108" s="115">
        <v>6.5</v>
      </c>
      <c r="AF108" s="115">
        <v>4.7</v>
      </c>
      <c r="AG108" s="114">
        <v>60</v>
      </c>
      <c r="AH108" s="47">
        <f t="shared" si="8"/>
        <v>22.2</v>
      </c>
      <c r="AI108" s="48">
        <f t="shared" si="9"/>
        <v>-4.2</v>
      </c>
    </row>
    <row r="109" spans="1:35" x14ac:dyDescent="0.25">
      <c r="A109" s="116" t="s">
        <v>117</v>
      </c>
      <c r="B109" s="117">
        <v>91.6</v>
      </c>
      <c r="C109" s="117">
        <v>85.1</v>
      </c>
      <c r="D109" s="117">
        <v>97.7</v>
      </c>
      <c r="E109" s="117">
        <v>91.4</v>
      </c>
      <c r="F109" s="117">
        <v>93.4</v>
      </c>
      <c r="G109" s="117">
        <v>96.3</v>
      </c>
      <c r="H109" s="117">
        <v>95</v>
      </c>
      <c r="I109" s="117">
        <v>105.5</v>
      </c>
      <c r="J109" s="117">
        <v>97.9</v>
      </c>
      <c r="K109" s="117">
        <v>100</v>
      </c>
      <c r="L109" s="117">
        <v>109.4</v>
      </c>
      <c r="M109" s="117">
        <v>109</v>
      </c>
      <c r="N109" s="117">
        <v>122</v>
      </c>
      <c r="O109" s="117">
        <v>122</v>
      </c>
      <c r="P109" s="117">
        <v>83.4</v>
      </c>
      <c r="Q109" s="117">
        <v>113</v>
      </c>
      <c r="R109" s="117">
        <v>121</v>
      </c>
      <c r="S109" s="117">
        <v>92.5</v>
      </c>
      <c r="T109" s="117">
        <v>91.6</v>
      </c>
      <c r="U109" s="117">
        <v>90.5</v>
      </c>
      <c r="V109" s="117">
        <v>62</v>
      </c>
      <c r="W109" s="117">
        <v>73.7</v>
      </c>
      <c r="X109" s="117">
        <v>58.1</v>
      </c>
      <c r="Y109" s="117">
        <v>85.9</v>
      </c>
      <c r="Z109" s="117">
        <v>84</v>
      </c>
      <c r="AA109" s="117">
        <v>70.2</v>
      </c>
      <c r="AB109" s="117">
        <v>45</v>
      </c>
      <c r="AC109" s="117">
        <v>14.3</v>
      </c>
      <c r="AD109" s="117">
        <v>54.1</v>
      </c>
      <c r="AE109" s="117">
        <v>95.7</v>
      </c>
      <c r="AF109" s="117">
        <v>89.2</v>
      </c>
      <c r="AG109" s="118">
        <v>120</v>
      </c>
      <c r="AH109" s="47">
        <f t="shared" si="8"/>
        <v>122</v>
      </c>
      <c r="AI109" s="48">
        <f t="shared" si="9"/>
        <v>14.3</v>
      </c>
    </row>
    <row r="110" spans="1:35" x14ac:dyDescent="0.25">
      <c r="A110" s="116" t="s">
        <v>118</v>
      </c>
      <c r="B110" s="117">
        <v>82.6</v>
      </c>
      <c r="C110" s="117">
        <v>79</v>
      </c>
      <c r="D110" s="117">
        <v>96</v>
      </c>
      <c r="E110" s="117">
        <v>90.9</v>
      </c>
      <c r="F110" s="117">
        <v>91</v>
      </c>
      <c r="G110" s="117">
        <v>97.3</v>
      </c>
      <c r="H110" s="117">
        <v>98</v>
      </c>
      <c r="I110" s="117">
        <v>87.7</v>
      </c>
      <c r="J110" s="117">
        <v>68.900000000000006</v>
      </c>
      <c r="K110" s="117">
        <v>67.900000000000006</v>
      </c>
      <c r="L110" s="117">
        <v>71</v>
      </c>
      <c r="M110" s="117">
        <v>84</v>
      </c>
      <c r="N110" s="117">
        <v>69</v>
      </c>
      <c r="O110" s="117">
        <v>69</v>
      </c>
      <c r="P110" s="117">
        <v>59</v>
      </c>
      <c r="Q110" s="117">
        <v>91</v>
      </c>
      <c r="R110" s="117">
        <v>96</v>
      </c>
      <c r="S110" s="117">
        <v>75.8</v>
      </c>
      <c r="T110" s="117">
        <v>76.8</v>
      </c>
      <c r="U110" s="117">
        <v>75.7</v>
      </c>
      <c r="V110" s="117">
        <v>45.7</v>
      </c>
      <c r="W110" s="117">
        <v>55.3</v>
      </c>
      <c r="X110" s="117">
        <v>38.5</v>
      </c>
      <c r="Y110" s="117">
        <v>49.4</v>
      </c>
      <c r="Z110" s="117">
        <v>46.3</v>
      </c>
      <c r="AA110" s="117">
        <v>36.799999999999997</v>
      </c>
      <c r="AB110" s="117">
        <v>24.3</v>
      </c>
      <c r="AC110" s="117">
        <v>36.700000000000003</v>
      </c>
      <c r="AD110" s="117">
        <v>56.1</v>
      </c>
      <c r="AE110" s="117">
        <v>80.2</v>
      </c>
      <c r="AF110" s="117">
        <v>85.8</v>
      </c>
      <c r="AG110" s="118"/>
      <c r="AH110" s="47">
        <f t="shared" si="8"/>
        <v>98</v>
      </c>
      <c r="AI110" s="48">
        <f t="shared" si="9"/>
        <v>24.3</v>
      </c>
    </row>
    <row r="111" spans="1:35" x14ac:dyDescent="0.25">
      <c r="A111" s="116" t="s">
        <v>119</v>
      </c>
      <c r="B111" s="117">
        <v>56.1</v>
      </c>
      <c r="C111" s="117">
        <v>56</v>
      </c>
      <c r="D111" s="117">
        <v>50</v>
      </c>
      <c r="E111" s="117">
        <v>53.6</v>
      </c>
      <c r="F111" s="117">
        <v>47</v>
      </c>
      <c r="G111" s="117">
        <v>53.2</v>
      </c>
      <c r="H111" s="117">
        <v>56.9</v>
      </c>
      <c r="I111" s="117">
        <v>58</v>
      </c>
      <c r="J111" s="117">
        <v>52</v>
      </c>
      <c r="K111" s="117">
        <v>29.8</v>
      </c>
      <c r="L111" s="117">
        <v>33.5</v>
      </c>
      <c r="M111" s="117">
        <v>29</v>
      </c>
      <c r="N111" s="117">
        <v>24</v>
      </c>
      <c r="O111" s="117">
        <v>24</v>
      </c>
      <c r="P111" s="117">
        <v>25</v>
      </c>
      <c r="Q111" s="117">
        <v>44</v>
      </c>
      <c r="R111" s="117">
        <v>51</v>
      </c>
      <c r="S111" s="117">
        <v>44.9</v>
      </c>
      <c r="T111" s="117">
        <v>43.7</v>
      </c>
      <c r="U111" s="117">
        <v>43.2</v>
      </c>
      <c r="V111" s="117">
        <v>24.7</v>
      </c>
      <c r="W111" s="117">
        <v>15.5</v>
      </c>
      <c r="X111" s="117">
        <v>0.4</v>
      </c>
      <c r="Y111" s="117">
        <v>6.4</v>
      </c>
      <c r="Z111" s="117">
        <v>9.6</v>
      </c>
      <c r="AA111" s="117">
        <v>6</v>
      </c>
      <c r="AB111" s="117">
        <v>-0.9</v>
      </c>
      <c r="AC111" s="117">
        <v>6</v>
      </c>
      <c r="AD111" s="117">
        <v>13.5</v>
      </c>
      <c r="AE111" s="117">
        <v>-52.3</v>
      </c>
      <c r="AF111" s="117">
        <v>56.4</v>
      </c>
      <c r="AG111" s="119"/>
      <c r="AH111" s="47">
        <f t="shared" si="8"/>
        <v>58</v>
      </c>
      <c r="AI111" s="48">
        <f t="shared" si="9"/>
        <v>-52.3</v>
      </c>
    </row>
    <row r="112" spans="1:35" x14ac:dyDescent="0.25">
      <c r="A112" s="120" t="s">
        <v>120</v>
      </c>
      <c r="B112" s="106">
        <v>11.8</v>
      </c>
      <c r="C112" s="106">
        <v>13.7</v>
      </c>
      <c r="D112" s="106">
        <v>16</v>
      </c>
      <c r="E112" s="106">
        <v>16</v>
      </c>
      <c r="F112" s="106">
        <v>12.5</v>
      </c>
      <c r="G112" s="106">
        <v>3.5</v>
      </c>
      <c r="H112" s="106">
        <v>2</v>
      </c>
      <c r="I112" s="106">
        <v>-16.8</v>
      </c>
      <c r="J112" s="106">
        <v>-28.9</v>
      </c>
      <c r="K112" s="106">
        <v>-36.200000000000003</v>
      </c>
      <c r="L112" s="106">
        <v>-50.5</v>
      </c>
      <c r="M112" s="106">
        <v>-56</v>
      </c>
      <c r="N112" s="106">
        <v>-33</v>
      </c>
      <c r="O112" s="106">
        <v>-33</v>
      </c>
      <c r="P112" s="106">
        <v>-31</v>
      </c>
      <c r="Q112" s="106">
        <v>-22</v>
      </c>
      <c r="R112" s="106">
        <v>-19</v>
      </c>
      <c r="S112" s="106">
        <v>-19.600000000000001</v>
      </c>
      <c r="T112" s="106">
        <v>-17.3</v>
      </c>
      <c r="U112" s="106">
        <v>-14.9</v>
      </c>
      <c r="V112" s="106">
        <v>-33.4</v>
      </c>
      <c r="W112" s="106">
        <v>-45.2</v>
      </c>
      <c r="X112" s="106">
        <v>-63.7</v>
      </c>
      <c r="Y112" s="106">
        <v>-59.2</v>
      </c>
      <c r="Z112" s="106">
        <v>-56.1</v>
      </c>
      <c r="AA112" s="106">
        <v>-44.7</v>
      </c>
      <c r="AB112" s="106">
        <v>-30.3</v>
      </c>
      <c r="AC112" s="106">
        <v>-23</v>
      </c>
      <c r="AD112" s="106">
        <v>-18.2</v>
      </c>
      <c r="AE112" s="106">
        <v>-7.5</v>
      </c>
      <c r="AF112" s="106">
        <v>3.5</v>
      </c>
      <c r="AG112" s="119"/>
      <c r="AH112" s="47">
        <f t="shared" si="8"/>
        <v>16</v>
      </c>
      <c r="AI112" s="48">
        <f t="shared" si="9"/>
        <v>-63.7</v>
      </c>
    </row>
    <row r="113" spans="1:37" ht="15.75" thickBot="1" x14ac:dyDescent="0.3">
      <c r="A113" s="120" t="s">
        <v>121</v>
      </c>
      <c r="B113" s="106">
        <v>57</v>
      </c>
      <c r="C113" s="106">
        <v>52.3</v>
      </c>
      <c r="D113" s="106">
        <v>51</v>
      </c>
      <c r="E113" s="106">
        <v>55.2</v>
      </c>
      <c r="F113" s="106">
        <v>49.5</v>
      </c>
      <c r="G113" s="106">
        <v>53</v>
      </c>
      <c r="H113" s="106">
        <v>58</v>
      </c>
      <c r="I113" s="106">
        <v>62.4</v>
      </c>
      <c r="J113" s="106">
        <v>61.9</v>
      </c>
      <c r="K113" s="106">
        <v>60.8</v>
      </c>
      <c r="L113" s="106">
        <v>45.3</v>
      </c>
      <c r="M113" s="106">
        <v>49</v>
      </c>
      <c r="N113" s="106">
        <v>34</v>
      </c>
      <c r="O113" s="106">
        <v>34</v>
      </c>
      <c r="P113" s="106">
        <v>48</v>
      </c>
      <c r="Q113" s="106">
        <v>57</v>
      </c>
      <c r="R113" s="106">
        <v>60</v>
      </c>
      <c r="S113" s="106">
        <v>69.599999999999994</v>
      </c>
      <c r="T113" s="106">
        <v>70.8</v>
      </c>
      <c r="U113" s="106">
        <v>69</v>
      </c>
      <c r="V113" s="106">
        <v>67.5</v>
      </c>
      <c r="W113" s="106">
        <v>65.099999999999994</v>
      </c>
      <c r="X113" s="106">
        <v>77</v>
      </c>
      <c r="Y113" s="106">
        <v>78.599999999999994</v>
      </c>
      <c r="Z113" s="106">
        <v>64.13</v>
      </c>
      <c r="AA113" s="106">
        <v>57.9</v>
      </c>
      <c r="AB113" s="106">
        <v>48.4</v>
      </c>
      <c r="AC113" s="106">
        <v>54.1</v>
      </c>
      <c r="AD113" s="106">
        <v>61.4</v>
      </c>
      <c r="AE113" s="106">
        <v>56.7</v>
      </c>
      <c r="AF113" s="106">
        <v>51.5</v>
      </c>
      <c r="AG113" s="119"/>
      <c r="AH113" s="47">
        <f t="shared" si="8"/>
        <v>78.599999999999994</v>
      </c>
      <c r="AI113" s="48">
        <f t="shared" si="9"/>
        <v>34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1388.1399999999999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2079/11/6)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951.54000000000008</v>
      </c>
      <c r="U242" s="170">
        <f t="shared" si="20"/>
        <v>961.54000000000008</v>
      </c>
      <c r="V242" s="170">
        <f t="shared" si="20"/>
        <v>941.54000000000008</v>
      </c>
      <c r="W242" s="170">
        <f t="shared" si="20"/>
        <v>916.44</v>
      </c>
      <c r="X242" s="170">
        <f t="shared" si="20"/>
        <v>942.34</v>
      </c>
      <c r="Y242" s="170">
        <f t="shared" si="20"/>
        <v>1014.44</v>
      </c>
      <c r="Z242" s="170">
        <f t="shared" si="20"/>
        <v>1045.24</v>
      </c>
      <c r="AA242" s="170">
        <f t="shared" si="20"/>
        <v>1123.94</v>
      </c>
      <c r="AB242" s="170">
        <f t="shared" si="20"/>
        <v>1206.99</v>
      </c>
      <c r="AC242" s="170">
        <f t="shared" si="20"/>
        <v>1249.04</v>
      </c>
      <c r="AD242" s="170">
        <f t="shared" si="20"/>
        <v>1380.74</v>
      </c>
      <c r="AE242" s="170">
        <f t="shared" si="20"/>
        <v>1388.1399999999999</v>
      </c>
      <c r="AF242" s="170">
        <f t="shared" si="20"/>
        <v>1318.3400000000001</v>
      </c>
      <c r="AG242" s="170">
        <f t="shared" si="20"/>
        <v>1183.74</v>
      </c>
      <c r="AH242" s="170">
        <f t="shared" si="20"/>
        <v>1130.44</v>
      </c>
      <c r="AI242" s="170">
        <f t="shared" si="20"/>
        <v>1096.1399999999999</v>
      </c>
      <c r="AJ242" s="170">
        <f t="shared" si="20"/>
        <v>1051.94</v>
      </c>
      <c r="AK242" s="170">
        <f t="shared" si="20"/>
        <v>1059.54</v>
      </c>
      <c r="AL242" s="170">
        <f t="shared" si="20"/>
        <v>1072.94</v>
      </c>
      <c r="AM242" s="170">
        <f t="shared" si="20"/>
        <v>1065.3400000000001</v>
      </c>
      <c r="AN242" s="170">
        <f t="shared" si="20"/>
        <v>1058.94</v>
      </c>
      <c r="AO242" s="170">
        <f t="shared" si="20"/>
        <v>1094.04</v>
      </c>
      <c r="AP242" s="170">
        <f t="shared" si="20"/>
        <v>1176.54</v>
      </c>
      <c r="AQ242" s="170">
        <f t="shared" si="20"/>
        <v>1333.7400000000002</v>
      </c>
      <c r="AR242" s="170">
        <f t="shared" si="20"/>
        <v>1301.7399999999998</v>
      </c>
      <c r="AS242" s="170">
        <f t="shared" si="20"/>
        <v>1240.8399999999999</v>
      </c>
      <c r="AT242" s="170">
        <f t="shared" si="20"/>
        <v>1171.74</v>
      </c>
      <c r="AU242" s="170">
        <f t="shared" si="20"/>
        <v>1140.44</v>
      </c>
      <c r="AV242" s="170">
        <f t="shared" si="20"/>
        <v>1052.1400000000001</v>
      </c>
      <c r="AW242" s="170">
        <f t="shared" si="20"/>
        <v>998.24</v>
      </c>
      <c r="AX242" s="170">
        <f t="shared" si="20"/>
        <v>908.44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418" priority="1">
      <formula>$AH11=0</formula>
    </cfRule>
  </conditionalFormatting>
  <conditionalFormatting sqref="B8 M8 S8 AB8">
    <cfRule type="expression" dxfId="417" priority="241">
      <formula>AND(C$9&gt;=14/24,C$9&lt;20/24)</formula>
    </cfRule>
    <cfRule type="expression" dxfId="416" priority="242">
      <formula>AND(C$9&gt;=8/24,C$9&lt;14/24)</formula>
    </cfRule>
    <cfRule type="expression" dxfId="415" priority="243">
      <formula>C$9&lt;8/24</formula>
    </cfRule>
  </conditionalFormatting>
  <conditionalFormatting sqref="B67:D72 E70:X72 Y71:AF72">
    <cfRule type="expression" dxfId="410" priority="90">
      <formula>B$9&lt;8/24</formula>
    </cfRule>
  </conditionalFormatting>
  <conditionalFormatting sqref="B68:D72 E70:X72 Y71:AF72">
    <cfRule type="expression" dxfId="409" priority="89">
      <formula>AND(B$9&gt;=8/24,B$9&lt;14/24)</formula>
    </cfRule>
    <cfRule type="expression" dxfId="408" priority="88">
      <formula>AND(B$9&gt;=14/24,B$9&lt;20/24)</formula>
    </cfRule>
    <cfRule type="expression" dxfId="407" priority="87">
      <formula>B$9&gt;=20/24</formula>
    </cfRule>
  </conditionalFormatting>
  <conditionalFormatting sqref="B49:R51">
    <cfRule type="expression" dxfId="406" priority="92">
      <formula>B$9&gt;=20/24</formula>
    </cfRule>
    <cfRule type="expression" dxfId="405" priority="94">
      <formula>AND(B$9&gt;=8/24,B$9&lt;14/24)</formula>
    </cfRule>
    <cfRule type="expression" dxfId="404" priority="95">
      <formula>B$9&lt;8/24</formula>
    </cfRule>
    <cfRule type="expression" dxfId="403" priority="93">
      <formula>AND(B$9&gt;=14/24,B$9&lt;20/24)</formula>
    </cfRule>
  </conditionalFormatting>
  <conditionalFormatting sqref="B11:X11">
    <cfRule type="expression" dxfId="402" priority="25">
      <formula>AND(B$9&gt;=8/24,B$9&lt;14/24)</formula>
    </cfRule>
    <cfRule type="expression" dxfId="401" priority="26">
      <formula>B$9&lt;8/24</formula>
    </cfRule>
    <cfRule type="expression" dxfId="400" priority="23">
      <formula>B$9&gt;=20/24</formula>
    </cfRule>
    <cfRule type="expression" dxfId="399" priority="24">
      <formula>AND(B$9&gt;=14/24,B$9&lt;20/24)</formula>
    </cfRule>
  </conditionalFormatting>
  <conditionalFormatting sqref="B12:X14">
    <cfRule type="expression" dxfId="398" priority="19">
      <formula>AND(B$9&gt;=14/24,B$9&lt;20/24)</formula>
    </cfRule>
    <cfRule type="expression" dxfId="397" priority="18">
      <formula>B$9&gt;=20/24</formula>
    </cfRule>
    <cfRule type="expression" dxfId="396" priority="20">
      <formula>AND(B$9&gt;=8/24,B$9&lt;14/24)</formula>
    </cfRule>
    <cfRule type="expression" dxfId="395" priority="21">
      <formula>B$9&lt;8/24</formula>
    </cfRule>
  </conditionalFormatting>
  <conditionalFormatting sqref="B15:X40">
    <cfRule type="expression" dxfId="394" priority="111">
      <formula>AND(B$9&gt;=8/24,B$9&lt;14/24)</formula>
    </cfRule>
    <cfRule type="expression" dxfId="393" priority="112">
      <formula>B$9&lt;8/24</formula>
    </cfRule>
    <cfRule type="expression" dxfId="392" priority="109">
      <formula>B$9&gt;=20/24</formula>
    </cfRule>
    <cfRule type="expression" dxfId="391" priority="110">
      <formula>AND(B$9&gt;=14/24,B$9&lt;20/24)</formula>
    </cfRule>
  </conditionalFormatting>
  <conditionalFormatting sqref="B41:X41">
    <cfRule type="expression" dxfId="390" priority="16">
      <formula>AND(B$9&gt;=8/24,B$9&lt;14/24)</formula>
    </cfRule>
    <cfRule type="expression" dxfId="389" priority="14">
      <formula>B$9&gt;=20/24</formula>
    </cfRule>
    <cfRule type="expression" dxfId="388" priority="15">
      <formula>AND(B$9&gt;=14/24,B$9&lt;20/24)</formula>
    </cfRule>
    <cfRule type="expression" dxfId="387" priority="17">
      <formula>B$9&lt;8/24</formula>
    </cfRule>
  </conditionalFormatting>
  <conditionalFormatting sqref="B42:X42">
    <cfRule type="expression" dxfId="386" priority="76">
      <formula>B$9&lt;8/24</formula>
    </cfRule>
    <cfRule type="expression" dxfId="385" priority="75">
      <formula>AND(B$9&gt;=8/24,B$9&lt;14/24)</formula>
    </cfRule>
    <cfRule type="expression" dxfId="384" priority="74">
      <formula>AND(B$9&gt;=14/24,B$9&lt;20/24)</formula>
    </cfRule>
    <cfRule type="expression" dxfId="383" priority="73">
      <formula>B$9&gt;=20/24</formula>
    </cfRule>
  </conditionalFormatting>
  <conditionalFormatting sqref="B9:AF10 B220:AF220 D222:AF223 B222:B228 D224:H224 J224:AF224 D225:AF228 U241:AF241">
    <cfRule type="expression" dxfId="382" priority="235">
      <formula>AND(B$9&gt;=14/24,B$9&lt;20/24)</formula>
    </cfRule>
    <cfRule type="expression" dxfId="381" priority="236">
      <formula>AND(B$9&gt;=8/24,B$9&lt;14/24)</formula>
    </cfRule>
    <cfRule type="expression" dxfId="380" priority="234">
      <formula>B$9&gt;=20/24</formula>
    </cfRule>
    <cfRule type="expression" dxfId="379" priority="237">
      <formula>B$9&lt;8/24</formula>
    </cfRule>
  </conditionalFormatting>
  <conditionalFormatting sqref="B11:AF66">
    <cfRule type="expression" dxfId="378" priority="22">
      <formula>B11&gt;$AG11</formula>
    </cfRule>
  </conditionalFormatting>
  <conditionalFormatting sqref="B43:AF43">
    <cfRule type="expression" dxfId="377" priority="108">
      <formula>B$9&lt;8/24</formula>
    </cfRule>
    <cfRule type="expression" dxfId="376" priority="106">
      <formula>AND(B$9&gt;=14/24,B$9&lt;20/24)</formula>
    </cfRule>
    <cfRule type="expression" dxfId="375" priority="105">
      <formula>B$9&gt;=20/24</formula>
    </cfRule>
    <cfRule type="expression" dxfId="374" priority="107">
      <formula>AND(B$9&gt;=8/24,B$9&lt;14/24)</formula>
    </cfRule>
  </conditionalFormatting>
  <conditionalFormatting sqref="B45:AF48">
    <cfRule type="expression" dxfId="373" priority="51">
      <formula>AND(B$9&gt;=14/24,B$9&lt;20/24)</formula>
    </cfRule>
    <cfRule type="expression" dxfId="372" priority="50">
      <formula>B$9&gt;=20/24</formula>
    </cfRule>
    <cfRule type="expression" dxfId="371" priority="52">
      <formula>AND(B$9&gt;=8/24,B$9&lt;14/24)</formula>
    </cfRule>
    <cfRule type="expression" dxfId="370" priority="53">
      <formula>B$9&lt;8/24</formula>
    </cfRule>
  </conditionalFormatting>
  <conditionalFormatting sqref="B54:AF60">
    <cfRule type="expression" dxfId="369" priority="32">
      <formula>B$9&lt;8/24</formula>
    </cfRule>
    <cfRule type="expression" dxfId="368" priority="31">
      <formula>AND(B$9&gt;=8/24,B$9&lt;14/24)</formula>
    </cfRule>
    <cfRule type="expression" dxfId="367" priority="30">
      <formula>AND(B$9&gt;=14/24,B$9&lt;20/24)</formula>
    </cfRule>
    <cfRule type="expression" dxfId="366" priority="29">
      <formula>B$9&gt;=20/24</formula>
    </cfRule>
  </conditionalFormatting>
  <conditionalFormatting sqref="B63:AF66">
    <cfRule type="expression" dxfId="365" priority="71">
      <formula>B$9&lt;8/24</formula>
    </cfRule>
  </conditionalFormatting>
  <conditionalFormatting sqref="B63:AF67">
    <cfRule type="expression" dxfId="364" priority="68">
      <formula>B$9&gt;=20/24</formula>
    </cfRule>
    <cfRule type="expression" dxfId="363" priority="69">
      <formula>AND(B$9&gt;=14/24,B$9&lt;20/24)</formula>
    </cfRule>
    <cfRule type="expression" dxfId="362" priority="70">
      <formula>AND(B$9&gt;=8/24,B$9&lt;14/24)</formula>
    </cfRule>
  </conditionalFormatting>
  <conditionalFormatting sqref="B73:AF85">
    <cfRule type="expression" dxfId="361" priority="12">
      <formula>AND(B$9&gt;=8/24,B$9&lt;14/24)</formula>
    </cfRule>
    <cfRule type="expression" dxfId="360" priority="13">
      <formula>B$9&lt;8/24</formula>
    </cfRule>
    <cfRule type="expression" dxfId="359" priority="11">
      <formula>AND(B$9&gt;=14/24,B$9&lt;20/24)</formula>
    </cfRule>
    <cfRule type="expression" dxfId="358" priority="10">
      <formula>B$9&gt;=20/24</formula>
    </cfRule>
  </conditionalFormatting>
  <conditionalFormatting sqref="B87:AF103">
    <cfRule type="expression" dxfId="353" priority="45">
      <formula>B$9&gt;=20/24</formula>
    </cfRule>
    <cfRule type="expression" dxfId="352" priority="46">
      <formula>AND(B$9&gt;=14/24,B$9&lt;20/24)</formula>
    </cfRule>
    <cfRule type="expression" dxfId="351" priority="48">
      <formula>B$9&lt;8/24</formula>
    </cfRule>
    <cfRule type="expression" dxfId="350" priority="47">
      <formula>AND(B$9&gt;=8/24,B$9&lt;14/24)</formula>
    </cfRule>
  </conditionalFormatting>
  <conditionalFormatting sqref="B105:AF112">
    <cfRule type="expression" dxfId="349" priority="33">
      <formula>B$9&gt;=20/24</formula>
    </cfRule>
    <cfRule type="expression" dxfId="348" priority="36">
      <formula>B$9&lt;8/24</formula>
    </cfRule>
    <cfRule type="expression" dxfId="347" priority="35">
      <formula>AND(B$9&gt;=8/24,B$9&lt;14/24)</formula>
    </cfRule>
    <cfRule type="expression" dxfId="346" priority="34">
      <formula>AND(B$9&gt;=14/24,B$9&lt;20/24)</formula>
    </cfRule>
  </conditionalFormatting>
  <conditionalFormatting sqref="E68:AE69 AF68:AF70 Y70:AE70">
    <cfRule type="expression" dxfId="341" priority="198">
      <formula>E$9&lt;8/24</formula>
    </cfRule>
    <cfRule type="expression" dxfId="340" priority="197">
      <formula>AND(E$9&gt;=8/24,E$9&lt;14/24)</formula>
    </cfRule>
    <cfRule type="expression" dxfId="339" priority="196">
      <formula>AND(E$9&gt;=14/24,E$9&lt;20/24)</formula>
    </cfRule>
    <cfRule type="expression" dxfId="338" priority="195">
      <formula>E$9&gt;=20/24</formula>
    </cfRule>
  </conditionalFormatting>
  <conditionalFormatting sqref="E67:AF67">
    <cfRule type="expression" dxfId="337" priority="207">
      <formula>E$9&lt;8/24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36" priority="240">
      <formula>C$9&gt;=20/24</formula>
    </cfRule>
  </conditionalFormatting>
  <conditionalFormatting sqref="S8">
    <cfRule type="expression" dxfId="335" priority="216">
      <formula>U$9&lt;8/24</formula>
    </cfRule>
    <cfRule type="expression" dxfId="334" priority="213">
      <formula>U$9&gt;=20/24</formula>
    </cfRule>
    <cfRule type="expression" dxfId="333" priority="215">
      <formula>AND(U$9&gt;=8/24,U$9&lt;14/24)</formula>
    </cfRule>
    <cfRule type="expression" dxfId="332" priority="214">
      <formula>AND(U$9&gt;=14/24,U$9&lt;20/24)</formula>
    </cfRule>
  </conditionalFormatting>
  <conditionalFormatting sqref="S49:AF53">
    <cfRule type="expression" dxfId="331" priority="193">
      <formula>S$9&lt;8/24</formula>
    </cfRule>
    <cfRule type="expression" dxfId="330" priority="192">
      <formula>AND(S$9&gt;=8/24,S$9&lt;14/24)</formula>
    </cfRule>
    <cfRule type="expression" dxfId="329" priority="191">
      <formula>AND(S$9&gt;=14/24,S$9&lt;20/24)</formula>
    </cfRule>
    <cfRule type="expression" dxfId="328" priority="190">
      <formula>S$9&gt;=20/24</formula>
    </cfRule>
  </conditionalFormatting>
  <conditionalFormatting sqref="T241">
    <cfRule type="expression" dxfId="327" priority="254">
      <formula>AND(AX$9&gt;=14/24,AX$9&lt;20/24)</formula>
    </cfRule>
    <cfRule type="expression" dxfId="326" priority="255">
      <formula>AND(AX$9&gt;=8/24,AX$9&lt;14/24)</formula>
    </cfRule>
    <cfRule type="expression" dxfId="325" priority="256">
      <formula>AX$9&lt;8/24</formula>
    </cfRule>
    <cfRule type="expression" dxfId="324" priority="253">
      <formula>AX$9&gt;=20/24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11:AF42">
    <cfRule type="expression" dxfId="323" priority="177">
      <formula>AND(Y$9&gt;=14/24,Y$9&lt;20/24)</formula>
    </cfRule>
    <cfRule type="expression" dxfId="322" priority="178">
      <formula>AND(Y$9&gt;=8/24,Y$9&lt;14/24)</formula>
    </cfRule>
    <cfRule type="expression" dxfId="321" priority="179">
      <formula>Y$9&lt;8/24</formula>
    </cfRule>
    <cfRule type="expression" dxfId="320" priority="176">
      <formula>Y$9&gt;=20/24</formula>
    </cfRule>
  </conditionalFormatting>
  <conditionalFormatting sqref="AB8">
    <cfRule type="expression" dxfId="319" priority="212">
      <formula>AD$9&lt;8/24</formula>
    </cfRule>
    <cfRule type="expression" dxfId="318" priority="211">
      <formula>AND(AD$9&gt;=8/24,AD$9&lt;14/24)</formula>
    </cfRule>
    <cfRule type="expression" dxfId="317" priority="210">
      <formula>AND(AD$9&gt;=14/24,AD$9&lt;20/24)</formula>
    </cfRule>
    <cfRule type="expression" dxfId="316" priority="209">
      <formula>AD$9&gt;=20/24</formula>
    </cfRule>
  </conditionalFormatting>
  <conditionalFormatting sqref="AG44 AG61:AG62 AG66">
    <cfRule type="expression" dxfId="315" priority="166">
      <formula>AG44&gt;$AG44</formula>
    </cfRule>
  </conditionalFormatting>
  <conditionalFormatting sqref="AG48">
    <cfRule type="expression" dxfId="314" priority="148">
      <formula>AND(AG$9&gt;=14/24,AG$9&lt;20/24)</formula>
    </cfRule>
    <cfRule type="expression" dxfId="313" priority="150">
      <formula>AG$9&lt;8/24</formula>
    </cfRule>
    <cfRule type="expression" dxfId="312" priority="149">
      <formula>AND(AG$9&gt;=8/24,AG$9&lt;14/24)</formula>
    </cfRule>
    <cfRule type="expression" dxfId="311" priority="147">
      <formula>AG$9&gt;=20/24</formula>
    </cfRule>
    <cfRule type="expression" dxfId="310" priority="146">
      <formula>AG48&gt;$AG48</formula>
    </cfRule>
  </conditionalFormatting>
  <conditionalFormatting sqref="AG66 AG83">
    <cfRule type="expression" dxfId="309" priority="170">
      <formula>AG$9&lt;8/24</formula>
    </cfRule>
    <cfRule type="expression" dxfId="308" priority="168">
      <formula>AND(AG$9&gt;=14/24,AG$9&lt;20/24)</formula>
    </cfRule>
    <cfRule type="expression" dxfId="307" priority="167">
      <formula>AG$9&gt;=20/24</formula>
    </cfRule>
    <cfRule type="expression" dxfId="306" priority="169">
      <formula>AND(AG$9&gt;=8/24,AG$9&lt;14/24)</formula>
    </cfRule>
  </conditionalFormatting>
  <conditionalFormatting sqref="AG241">
    <cfRule type="expression" dxfId="305" priority="246">
      <formula>AND(B$9&gt;=14/24,B$9&lt;20/24)</formula>
    </cfRule>
    <cfRule type="expression" dxfId="304" priority="248">
      <formula>B$9&lt;8/24</formula>
    </cfRule>
    <cfRule type="expression" dxfId="303" priority="247">
      <formula>AND(B$9&gt;=8/24,B$9&lt;14/24)</formula>
    </cfRule>
    <cfRule type="expression" dxfId="302" priority="245">
      <formula>B$9&gt;=20/24</formula>
    </cfRule>
  </conditionalFormatting>
  <conditionalFormatting sqref="AH241:AX241">
    <cfRule type="expression" dxfId="301" priority="250">
      <formula>AND(AG$9&gt;=14/24,AG$9&lt;20/24)</formula>
    </cfRule>
    <cfRule type="expression" dxfId="300" priority="251">
      <formula>AND(AG$9&gt;=8/24,AG$9&lt;14/24)</formula>
    </cfRule>
    <cfRule type="expression" dxfId="299" priority="252">
      <formula>AG$9&lt;8/24</formula>
    </cfRule>
    <cfRule type="expression" dxfId="298" priority="249">
      <formula>AG$9&gt;=20/24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297" priority="261">
      <formula>AJ$9&lt;8/24</formula>
    </cfRule>
    <cfRule type="expression" dxfId="296" priority="258">
      <formula>AJ$9&gt;=20/24</formula>
    </cfRule>
    <cfRule type="expression" dxfId="295" priority="259">
      <formula>AND(AJ$9&gt;=14/24,AJ$9&lt;20/24)</formula>
    </cfRule>
    <cfRule type="expression" dxfId="294" priority="260">
      <formula>AND(AJ$9&gt;=8/24,AJ$9&lt;14/24)</formula>
    </cfRule>
  </conditionalFormatting>
  <conditionalFormatting sqref="AL74:AN74 AL80:AN80">
    <cfRule type="expression" dxfId="293" priority="9">
      <formula>AL$9&lt;8/24</formula>
    </cfRule>
    <cfRule type="expression" dxfId="292" priority="8">
      <formula>AND(AL$9&gt;=8/24,AL$9&lt;14/24)</formula>
    </cfRule>
    <cfRule type="expression" dxfId="291" priority="7">
      <formula>AND(AL$9&gt;=14/24,AL$9&lt;20/24)</formula>
    </cfRule>
    <cfRule type="expression" dxfId="290" priority="6">
      <formula>AL$9&gt;=20/24</formula>
    </cfRule>
  </conditionalFormatting>
  <conditionalFormatting sqref="AN75:AN78">
    <cfRule type="expression" dxfId="289" priority="2">
      <formula>AN$9&gt;=20/24</formula>
    </cfRule>
    <cfRule type="expression" dxfId="288" priority="3">
      <formula>AND(AN$9&gt;=14/24,AN$9&lt;20/24)</formula>
    </cfRule>
    <cfRule type="expression" dxfId="287" priority="4">
      <formula>AND(AN$9&gt;=8/24,AN$9&lt;14/24)</formula>
    </cfRule>
    <cfRule type="expression" dxfId="286" priority="5">
      <formula>AN$9&lt;8/24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3AE3EC07-B9D7-482D-9429-48499EE38DD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DBA812A6-92A0-467A-B226-75F33D212A8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04324B57-0AB7-470A-9C2E-754A1E80C82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" id="{6E4D4B8B-DB09-4263-AD22-A5253748957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1" id="{315D094B-E7F6-4A6D-887A-B23B4BD105A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EE4F3BA2-1E29-4866-AB36-1EDB256BFEE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D4B63BD0-EB17-41A7-AF57-E33450DD29E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56BA60A3-EF4A-43C3-9407-54149218801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5" id="{4287AC14-2708-414B-BEBE-37DC9232ED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EB33B65B-CA41-4552-8DF3-2F2913532CD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92283661-B9F3-42C3-8E6D-DDDEC6D06D2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12BA8E16-6D4A-49E4-B05B-3F5D00C7FCA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4"/>
  <sheetViews>
    <sheetView zoomScaleNormal="100" workbookViewId="0">
      <pane ySplit="10" topLeftCell="A32" activePane="bottomLeft" state="frozen"/>
      <selection activeCell="Z85" sqref="Z85"/>
      <selection pane="bottomLeft" activeCell="Q69" sqref="Q69:S69"/>
    </sheetView>
  </sheetViews>
  <sheetFormatPr defaultRowHeight="15" x14ac:dyDescent="0.25"/>
  <cols>
    <col min="1" max="1" width="35.28515625" style="1" bestFit="1" customWidth="1"/>
    <col min="2" max="2" width="6.7109375" style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2079/11/7</v>
      </c>
      <c r="C4" s="208"/>
      <c r="D4" s="208"/>
      <c r="E4" s="209" t="str">
        <f ca="1">"2079/"&amp;"11/"&amp;INT(MID(CELL("filename",G6),FIND("]",CELL("filename",G6))+1,200))</f>
        <v>2079/11/7</v>
      </c>
      <c r="F4" s="209"/>
      <c r="G4" s="209"/>
      <c r="H4" s="209" t="str">
        <f ca="1">TEXT(E4,"dddd")</f>
        <v>Tuesday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341.2</v>
      </c>
      <c r="C5" s="30">
        <f t="shared" si="0"/>
        <v>364.8</v>
      </c>
      <c r="D5" s="30">
        <f t="shared" si="0"/>
        <v>388.09999999999997</v>
      </c>
      <c r="E5" s="30">
        <f t="shared" si="0"/>
        <v>357.6</v>
      </c>
      <c r="F5" s="30">
        <f t="shared" si="0"/>
        <v>362.7</v>
      </c>
      <c r="G5" s="30">
        <f t="shared" si="0"/>
        <v>398.7</v>
      </c>
      <c r="H5" s="30">
        <f t="shared" si="0"/>
        <v>406.3</v>
      </c>
      <c r="I5" s="30">
        <f t="shared" si="0"/>
        <v>438.2</v>
      </c>
      <c r="J5" s="30">
        <f t="shared" si="0"/>
        <v>404.1</v>
      </c>
      <c r="K5" s="30">
        <f t="shared" si="0"/>
        <v>340.3</v>
      </c>
      <c r="L5" s="30">
        <f t="shared" si="0"/>
        <v>395</v>
      </c>
      <c r="M5" s="30">
        <f t="shared" si="0"/>
        <v>484.09999999999997</v>
      </c>
      <c r="N5" s="30">
        <f t="shared" si="0"/>
        <v>509.5</v>
      </c>
      <c r="O5" s="30">
        <f t="shared" si="0"/>
        <v>501.9</v>
      </c>
      <c r="P5" s="30">
        <f t="shared" si="0"/>
        <v>463.2</v>
      </c>
      <c r="Q5" s="30">
        <f t="shared" si="0"/>
        <v>469.40000000000003</v>
      </c>
      <c r="R5" s="30">
        <f t="shared" si="0"/>
        <v>445.3</v>
      </c>
      <c r="S5" s="30">
        <f t="shared" si="0"/>
        <v>482.3</v>
      </c>
      <c r="T5" s="30">
        <f t="shared" si="0"/>
        <v>493</v>
      </c>
      <c r="U5" s="30">
        <f t="shared" si="0"/>
        <v>481</v>
      </c>
      <c r="V5" s="30">
        <f t="shared" si="0"/>
        <v>463</v>
      </c>
      <c r="W5" s="30">
        <f t="shared" si="0"/>
        <v>475</v>
      </c>
      <c r="X5" s="30">
        <f t="shared" si="0"/>
        <v>476</v>
      </c>
      <c r="Y5" s="30">
        <f t="shared" si="0"/>
        <v>456</v>
      </c>
      <c r="Z5" s="30">
        <f t="shared" si="0"/>
        <v>461</v>
      </c>
      <c r="AA5" s="30">
        <f t="shared" si="0"/>
        <v>409.5</v>
      </c>
      <c r="AB5" s="30">
        <f t="shared" si="0"/>
        <v>409.2</v>
      </c>
      <c r="AC5" s="30">
        <f t="shared" si="0"/>
        <v>413</v>
      </c>
      <c r="AD5" s="30">
        <f t="shared" si="0"/>
        <v>469.5</v>
      </c>
      <c r="AE5" s="30">
        <f t="shared" si="0"/>
        <v>455.8</v>
      </c>
      <c r="AF5" s="30">
        <f>B78</f>
        <v>389.5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1459MW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Load=853</v>
      </c>
      <c r="B7" s="35">
        <f t="shared" ref="B7:AF7" si="1">B85</f>
        <v>908.44</v>
      </c>
      <c r="C7" s="35">
        <f t="shared" si="1"/>
        <v>852.54</v>
      </c>
      <c r="D7" s="35">
        <f t="shared" si="1"/>
        <v>880.04</v>
      </c>
      <c r="E7" s="35">
        <f t="shared" si="1"/>
        <v>873.04</v>
      </c>
      <c r="F7" s="35">
        <f t="shared" si="1"/>
        <v>877.54000000000008</v>
      </c>
      <c r="G7" s="35">
        <f t="shared" si="1"/>
        <v>882.44</v>
      </c>
      <c r="H7" s="35">
        <f t="shared" si="1"/>
        <v>961.54</v>
      </c>
      <c r="I7" s="35">
        <f t="shared" si="1"/>
        <v>1009.44</v>
      </c>
      <c r="J7" s="35">
        <f t="shared" si="1"/>
        <v>1102.1400000000001</v>
      </c>
      <c r="K7" s="35">
        <f t="shared" si="1"/>
        <v>1185.44</v>
      </c>
      <c r="L7" s="35">
        <f t="shared" si="1"/>
        <v>1395.74</v>
      </c>
      <c r="M7" s="35">
        <f t="shared" si="1"/>
        <v>1458.94</v>
      </c>
      <c r="N7" s="35">
        <f>N85</f>
        <v>1455.24</v>
      </c>
      <c r="O7" s="35">
        <f t="shared" si="1"/>
        <v>1439.04</v>
      </c>
      <c r="P7" s="35">
        <f t="shared" si="1"/>
        <v>1382.1399999999999</v>
      </c>
      <c r="Q7" s="35">
        <f t="shared" si="1"/>
        <v>1312.94</v>
      </c>
      <c r="R7" s="35">
        <f t="shared" si="1"/>
        <v>1219.8399999999999</v>
      </c>
      <c r="S7" s="35">
        <f t="shared" si="1"/>
        <v>1203.24</v>
      </c>
      <c r="T7" s="35">
        <f t="shared" si="1"/>
        <v>1200.8399999999999</v>
      </c>
      <c r="U7" s="35">
        <f t="shared" si="1"/>
        <v>1269.54</v>
      </c>
      <c r="V7" s="35">
        <f t="shared" si="1"/>
        <v>1231.54</v>
      </c>
      <c r="W7" s="35">
        <f t="shared" si="1"/>
        <v>1205.54</v>
      </c>
      <c r="X7" s="35">
        <f t="shared" si="1"/>
        <v>1236.54</v>
      </c>
      <c r="Y7" s="35">
        <f t="shared" si="1"/>
        <v>1355.54</v>
      </c>
      <c r="Z7" s="35">
        <f t="shared" si="1"/>
        <v>1472.2399999999998</v>
      </c>
      <c r="AA7" s="35">
        <f t="shared" si="1"/>
        <v>1390.84</v>
      </c>
      <c r="AB7" s="35">
        <f t="shared" si="1"/>
        <v>1308.1399999999999</v>
      </c>
      <c r="AC7" s="35">
        <f t="shared" si="1"/>
        <v>1219.3399999999999</v>
      </c>
      <c r="AD7" s="35">
        <f t="shared" si="1"/>
        <v>1124.04</v>
      </c>
      <c r="AE7" s="35">
        <f t="shared" si="1"/>
        <v>1059.6399999999999</v>
      </c>
      <c r="AF7" s="35">
        <f t="shared" si="1"/>
        <v>976.24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</v>
      </c>
      <c r="C11" s="45">
        <v>17</v>
      </c>
      <c r="D11" s="45">
        <v>16.7</v>
      </c>
      <c r="E11" s="45">
        <v>16.7</v>
      </c>
      <c r="F11" s="45">
        <v>16.7</v>
      </c>
      <c r="G11" s="45">
        <v>16.7</v>
      </c>
      <c r="H11" s="45">
        <v>16.7</v>
      </c>
      <c r="I11" s="45">
        <v>16.7</v>
      </c>
      <c r="J11" s="45">
        <v>16.7</v>
      </c>
      <c r="K11" s="45">
        <v>16.7</v>
      </c>
      <c r="L11" s="45">
        <v>16.7</v>
      </c>
      <c r="M11" s="45">
        <v>16.7</v>
      </c>
      <c r="N11" s="45">
        <v>12</v>
      </c>
      <c r="O11" s="45">
        <v>12</v>
      </c>
      <c r="P11" s="45">
        <v>12</v>
      </c>
      <c r="Q11" s="45">
        <v>12</v>
      </c>
      <c r="R11" s="45">
        <v>12</v>
      </c>
      <c r="S11" s="45">
        <v>12</v>
      </c>
      <c r="T11" s="45">
        <v>12</v>
      </c>
      <c r="U11" s="45">
        <v>12</v>
      </c>
      <c r="V11" s="45">
        <v>12</v>
      </c>
      <c r="W11" s="45">
        <v>12</v>
      </c>
      <c r="X11" s="45">
        <v>12</v>
      </c>
      <c r="Y11" s="45">
        <v>12</v>
      </c>
      <c r="Z11" s="45">
        <v>12</v>
      </c>
      <c r="AA11" s="45">
        <v>12</v>
      </c>
      <c r="AB11" s="45">
        <v>12</v>
      </c>
      <c r="AC11" s="45">
        <v>12</v>
      </c>
      <c r="AD11" s="45">
        <v>12</v>
      </c>
      <c r="AE11" s="45">
        <v>12.1</v>
      </c>
      <c r="AF11" s="45">
        <v>12.4</v>
      </c>
      <c r="AG11" s="46">
        <v>52.4</v>
      </c>
      <c r="AH11" s="47">
        <f t="shared" ref="AH11:AH74" si="2">MAX(B11:AF11)</f>
        <v>17</v>
      </c>
      <c r="AI11" s="48">
        <f t="shared" ref="AI11:AI74" si="3">MIN(B11:AF11)</f>
        <v>12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30.5</v>
      </c>
      <c r="C12" s="45">
        <v>30.5</v>
      </c>
      <c r="D12" s="45">
        <v>30.8</v>
      </c>
      <c r="E12" s="45">
        <v>30.8</v>
      </c>
      <c r="F12" s="45">
        <v>30.8</v>
      </c>
      <c r="G12" s="45">
        <v>30.8</v>
      </c>
      <c r="H12" s="45">
        <v>30.8</v>
      </c>
      <c r="I12" s="45">
        <v>30.8</v>
      </c>
      <c r="J12" s="45">
        <v>30.8</v>
      </c>
      <c r="K12" s="45">
        <v>30.8</v>
      </c>
      <c r="L12" s="45">
        <v>30.8</v>
      </c>
      <c r="M12" s="45">
        <v>30.8</v>
      </c>
      <c r="N12" s="45">
        <v>33</v>
      </c>
      <c r="O12" s="45">
        <v>33</v>
      </c>
      <c r="P12" s="45">
        <v>33</v>
      </c>
      <c r="Q12" s="45">
        <v>33</v>
      </c>
      <c r="R12" s="45">
        <v>33</v>
      </c>
      <c r="S12" s="45">
        <v>33</v>
      </c>
      <c r="T12" s="45">
        <v>33</v>
      </c>
      <c r="U12" s="45">
        <v>33</v>
      </c>
      <c r="V12" s="45">
        <v>33</v>
      </c>
      <c r="W12" s="45">
        <v>33</v>
      </c>
      <c r="X12" s="45">
        <v>33</v>
      </c>
      <c r="Y12" s="45">
        <v>33</v>
      </c>
      <c r="Z12" s="45">
        <v>33</v>
      </c>
      <c r="AA12" s="45">
        <v>33</v>
      </c>
      <c r="AB12" s="45">
        <v>33</v>
      </c>
      <c r="AC12" s="45">
        <v>33</v>
      </c>
      <c r="AD12" s="45">
        <v>33</v>
      </c>
      <c r="AE12" s="45">
        <v>31.3</v>
      </c>
      <c r="AF12" s="45">
        <v>33</v>
      </c>
      <c r="AG12" s="50">
        <v>50</v>
      </c>
      <c r="AH12" s="47">
        <f t="shared" si="2"/>
        <v>33</v>
      </c>
      <c r="AI12" s="48">
        <f t="shared" si="3"/>
        <v>30.5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15.6</v>
      </c>
      <c r="C13" s="45">
        <v>15.6</v>
      </c>
      <c r="D13" s="45">
        <v>19.2</v>
      </c>
      <c r="E13" s="45">
        <v>19.2</v>
      </c>
      <c r="F13" s="45">
        <v>19.2</v>
      </c>
      <c r="G13" s="45">
        <v>19.2</v>
      </c>
      <c r="H13" s="45">
        <v>19.2</v>
      </c>
      <c r="I13" s="45">
        <v>19.2</v>
      </c>
      <c r="J13" s="45">
        <v>19.2</v>
      </c>
      <c r="K13" s="45">
        <v>19.2</v>
      </c>
      <c r="L13" s="45">
        <v>19.2</v>
      </c>
      <c r="M13" s="45">
        <v>19.2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19.100000000000001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19.2</v>
      </c>
      <c r="AI13" s="48">
        <f t="shared" si="3"/>
        <v>15.6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9.5</v>
      </c>
      <c r="R14" s="45">
        <v>9.5</v>
      </c>
      <c r="S14" s="45">
        <v>9.5</v>
      </c>
      <c r="T14" s="45">
        <v>9.5</v>
      </c>
      <c r="U14" s="45">
        <v>9.5</v>
      </c>
      <c r="V14" s="45">
        <v>9.5</v>
      </c>
      <c r="W14" s="45">
        <v>9.5</v>
      </c>
      <c r="X14" s="45">
        <v>9.5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10</v>
      </c>
      <c r="AF14" s="45">
        <v>9.5</v>
      </c>
      <c r="AG14" s="50">
        <v>42</v>
      </c>
      <c r="AH14" s="47">
        <f t="shared" si="2"/>
        <v>10</v>
      </c>
      <c r="AI14" s="48">
        <f t="shared" si="3"/>
        <v>9.5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7.9</v>
      </c>
      <c r="C16" s="45">
        <v>7.9</v>
      </c>
      <c r="D16" s="45">
        <v>8.1999999999999993</v>
      </c>
      <c r="E16" s="45">
        <v>8.1999999999999993</v>
      </c>
      <c r="F16" s="45">
        <v>8.1999999999999993</v>
      </c>
      <c r="G16" s="45">
        <v>8.1999999999999993</v>
      </c>
      <c r="H16" s="45">
        <v>8.1999999999999993</v>
      </c>
      <c r="I16" s="45">
        <v>8.1999999999999993</v>
      </c>
      <c r="J16" s="45">
        <v>8.1999999999999993</v>
      </c>
      <c r="K16" s="45">
        <v>8.1999999999999993</v>
      </c>
      <c r="L16" s="45">
        <v>8.1999999999999993</v>
      </c>
      <c r="M16" s="45">
        <v>8.1999999999999993</v>
      </c>
      <c r="N16" s="45">
        <v>8.3000000000000007</v>
      </c>
      <c r="O16" s="45">
        <v>8.3000000000000007</v>
      </c>
      <c r="P16" s="45">
        <v>8.3000000000000007</v>
      </c>
      <c r="Q16" s="45">
        <v>8.3000000000000007</v>
      </c>
      <c r="R16" s="45">
        <v>8.3000000000000007</v>
      </c>
      <c r="S16" s="45">
        <v>8.3000000000000007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8.3000000000000007</v>
      </c>
      <c r="AF16" s="45">
        <v>8.4</v>
      </c>
      <c r="AG16" s="51">
        <v>30</v>
      </c>
      <c r="AH16" s="47">
        <f t="shared" si="2"/>
        <v>8.4</v>
      </c>
      <c r="AI16" s="48">
        <f t="shared" si="3"/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</v>
      </c>
      <c r="C17" s="45">
        <v>7</v>
      </c>
      <c r="D17" s="45">
        <v>7</v>
      </c>
      <c r="E17" s="45">
        <v>7</v>
      </c>
      <c r="F17" s="45">
        <v>7</v>
      </c>
      <c r="G17" s="45">
        <v>7</v>
      </c>
      <c r="H17" s="45">
        <v>7</v>
      </c>
      <c r="I17" s="45">
        <v>7</v>
      </c>
      <c r="J17" s="45">
        <v>7</v>
      </c>
      <c r="K17" s="45">
        <v>7</v>
      </c>
      <c r="L17" s="45">
        <v>7</v>
      </c>
      <c r="M17" s="45">
        <v>7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7.5</v>
      </c>
      <c r="AF17" s="45">
        <v>6.6</v>
      </c>
      <c r="AG17" s="50">
        <v>24.2</v>
      </c>
      <c r="AH17" s="47">
        <f t="shared" si="2"/>
        <v>7.5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10</v>
      </c>
      <c r="AF20" s="45">
        <v>9.4</v>
      </c>
      <c r="AG20" s="50">
        <v>25</v>
      </c>
      <c r="AH20" s="47">
        <f t="shared" si="2"/>
        <v>10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7.1</v>
      </c>
      <c r="O24" s="45">
        <v>7.1</v>
      </c>
      <c r="P24" s="45">
        <v>7.1</v>
      </c>
      <c r="Q24" s="45">
        <v>7.1</v>
      </c>
      <c r="R24" s="45">
        <v>7.1</v>
      </c>
      <c r="S24" s="45">
        <v>7.1</v>
      </c>
      <c r="T24" s="45">
        <v>7.1</v>
      </c>
      <c r="U24" s="45">
        <v>7.1</v>
      </c>
      <c r="V24" s="45">
        <v>7.1</v>
      </c>
      <c r="W24" s="45">
        <v>7.1</v>
      </c>
      <c r="X24" s="45">
        <v>7.1</v>
      </c>
      <c r="Y24" s="45">
        <v>7.1</v>
      </c>
      <c r="Z24" s="45">
        <v>7.1</v>
      </c>
      <c r="AA24" s="45">
        <v>7.1</v>
      </c>
      <c r="AB24" s="45">
        <v>7.1</v>
      </c>
      <c r="AC24" s="45">
        <v>7.1</v>
      </c>
      <c r="AD24" s="45">
        <v>7.1</v>
      </c>
      <c r="AE24" s="45">
        <v>7.1</v>
      </c>
      <c r="AF24" s="45">
        <v>7.1</v>
      </c>
      <c r="AG24" s="50">
        <v>23.5</v>
      </c>
      <c r="AH24" s="47">
        <f t="shared" si="2"/>
        <v>7.3</v>
      </c>
      <c r="AI24" s="48">
        <f t="shared" si="3"/>
        <v>7.1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9.6</v>
      </c>
      <c r="O28" s="45">
        <v>9.6</v>
      </c>
      <c r="P28" s="45">
        <v>9.6</v>
      </c>
      <c r="Q28" s="45">
        <v>9.6</v>
      </c>
      <c r="R28" s="45">
        <v>9.6</v>
      </c>
      <c r="S28" s="45">
        <v>9.6</v>
      </c>
      <c r="T28" s="45">
        <v>9.6</v>
      </c>
      <c r="U28" s="45">
        <v>9.6</v>
      </c>
      <c r="V28" s="45">
        <v>9.6</v>
      </c>
      <c r="W28" s="45">
        <v>9.6</v>
      </c>
      <c r="X28" s="45">
        <v>9.6</v>
      </c>
      <c r="Y28" s="45">
        <v>9.6</v>
      </c>
      <c r="Z28" s="45">
        <v>9.6</v>
      </c>
      <c r="AA28" s="45">
        <v>9.6</v>
      </c>
      <c r="AB28" s="45">
        <v>9.6</v>
      </c>
      <c r="AC28" s="45">
        <v>9.6</v>
      </c>
      <c r="AD28" s="45">
        <v>9.6</v>
      </c>
      <c r="AE28" s="45">
        <v>9.6</v>
      </c>
      <c r="AF28" s="45">
        <v>9.6</v>
      </c>
      <c r="AG28" s="50">
        <v>22</v>
      </c>
      <c r="AH28" s="47">
        <f t="shared" si="2"/>
        <v>9.6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v>359.20000000000005</v>
      </c>
      <c r="C44" s="60">
        <f t="shared" ref="C44:AG44" si="4">SUM(C11:C42)</f>
        <v>359.20000000000005</v>
      </c>
      <c r="D44" s="60">
        <f t="shared" si="4"/>
        <v>363.1</v>
      </c>
      <c r="E44" s="60">
        <f t="shared" si="4"/>
        <v>363.1</v>
      </c>
      <c r="F44" s="60">
        <f t="shared" si="4"/>
        <v>363.1</v>
      </c>
      <c r="G44" s="60">
        <f t="shared" si="4"/>
        <v>363.1</v>
      </c>
      <c r="H44" s="60">
        <f t="shared" si="4"/>
        <v>363.1</v>
      </c>
      <c r="I44" s="60">
        <f t="shared" si="4"/>
        <v>363.1</v>
      </c>
      <c r="J44" s="60">
        <f t="shared" si="4"/>
        <v>363.1</v>
      </c>
      <c r="K44" s="60">
        <f t="shared" si="4"/>
        <v>363.1</v>
      </c>
      <c r="L44" s="60">
        <f t="shared" si="4"/>
        <v>363.1</v>
      </c>
      <c r="M44" s="60">
        <f t="shared" si="4"/>
        <v>363.1</v>
      </c>
      <c r="N44" s="60">
        <f t="shared" si="4"/>
        <v>361.59999999999997</v>
      </c>
      <c r="O44" s="60">
        <f t="shared" si="4"/>
        <v>361.59999999999997</v>
      </c>
      <c r="P44" s="60">
        <f t="shared" si="4"/>
        <v>361.59999999999997</v>
      </c>
      <c r="Q44" s="60">
        <f t="shared" si="4"/>
        <v>361.59999999999997</v>
      </c>
      <c r="R44" s="60">
        <f t="shared" si="4"/>
        <v>361.59999999999997</v>
      </c>
      <c r="S44" s="60">
        <f t="shared" si="4"/>
        <v>361.59999999999997</v>
      </c>
      <c r="T44" s="60">
        <f t="shared" si="4"/>
        <v>353.29999999999995</v>
      </c>
      <c r="U44" s="60">
        <f t="shared" si="4"/>
        <v>353.29999999999995</v>
      </c>
      <c r="V44" s="60">
        <f t="shared" si="4"/>
        <v>353.29999999999995</v>
      </c>
      <c r="W44" s="60">
        <f t="shared" si="4"/>
        <v>353.29999999999995</v>
      </c>
      <c r="X44" s="60">
        <f t="shared" si="4"/>
        <v>353.29999999999995</v>
      </c>
      <c r="Y44" s="60">
        <f t="shared" si="4"/>
        <v>353.29999999999995</v>
      </c>
      <c r="Z44" s="60">
        <f t="shared" si="4"/>
        <v>353.29999999999995</v>
      </c>
      <c r="AA44" s="60">
        <f t="shared" si="4"/>
        <v>353.29999999999995</v>
      </c>
      <c r="AB44" s="60">
        <f t="shared" si="4"/>
        <v>353.29999999999995</v>
      </c>
      <c r="AC44" s="60">
        <f t="shared" si="4"/>
        <v>353.29999999999995</v>
      </c>
      <c r="AD44" s="60">
        <f t="shared" si="4"/>
        <v>353.29999999999995</v>
      </c>
      <c r="AE44" s="60">
        <f t="shared" ref="AE44:AF44" si="5">SUM(AE11:AE42)</f>
        <v>362</v>
      </c>
      <c r="AF44" s="60">
        <f t="shared" si="5"/>
        <v>362.1</v>
      </c>
      <c r="AG44" s="61">
        <f t="shared" si="4"/>
        <v>814.78000000000009</v>
      </c>
      <c r="AH44" s="47">
        <f t="shared" si="2"/>
        <v>363.1</v>
      </c>
      <c r="AI44" s="48">
        <f t="shared" si="3"/>
        <v>353.29999999999995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30</v>
      </c>
      <c r="K45" s="45">
        <v>20</v>
      </c>
      <c r="L45" s="45">
        <v>150</v>
      </c>
      <c r="M45" s="63">
        <v>190</v>
      </c>
      <c r="N45" s="63">
        <v>105</v>
      </c>
      <c r="O45" s="45">
        <v>81.2</v>
      </c>
      <c r="P45" s="45">
        <v>81.2</v>
      </c>
      <c r="Q45" s="45">
        <v>95</v>
      </c>
      <c r="R45" s="45">
        <v>15</v>
      </c>
      <c r="S45" s="45">
        <v>50</v>
      </c>
      <c r="T45" s="45">
        <v>50</v>
      </c>
      <c r="U45" s="45">
        <v>50</v>
      </c>
      <c r="V45" s="45">
        <v>70</v>
      </c>
      <c r="W45" s="45">
        <v>70</v>
      </c>
      <c r="X45" s="45">
        <v>90</v>
      </c>
      <c r="Y45" s="45">
        <v>70</v>
      </c>
      <c r="Z45" s="45">
        <v>70</v>
      </c>
      <c r="AA45" s="45">
        <v>60</v>
      </c>
      <c r="AB45" s="45">
        <v>50</v>
      </c>
      <c r="AC45" s="45">
        <v>70</v>
      </c>
      <c r="AD45" s="45">
        <v>70</v>
      </c>
      <c r="AE45" s="45">
        <v>60</v>
      </c>
      <c r="AF45" s="45">
        <v>0</v>
      </c>
      <c r="AG45" s="51">
        <v>456</v>
      </c>
      <c r="AH45" s="47">
        <f t="shared" si="2"/>
        <v>190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9.6999999999999993</v>
      </c>
      <c r="C47" s="67">
        <v>9.6999999999999993</v>
      </c>
      <c r="D47" s="67">
        <v>9.6999999999999993</v>
      </c>
      <c r="E47" s="67">
        <v>9.6999999999999993</v>
      </c>
      <c r="F47" s="67">
        <v>9.6999999999999993</v>
      </c>
      <c r="G47" s="67">
        <v>9.6999999999999993</v>
      </c>
      <c r="H47" s="67">
        <v>9.6999999999999993</v>
      </c>
      <c r="I47" s="67">
        <v>9.6999999999999993</v>
      </c>
      <c r="J47" s="67">
        <v>9.6999999999999993</v>
      </c>
      <c r="K47" s="67">
        <v>9.6999999999999993</v>
      </c>
      <c r="L47" s="67">
        <v>9.6999999999999993</v>
      </c>
      <c r="M47" s="67">
        <v>11.4</v>
      </c>
      <c r="N47" s="67">
        <v>11.4</v>
      </c>
      <c r="O47" s="67">
        <v>11.4</v>
      </c>
      <c r="P47" s="67">
        <v>11.4</v>
      </c>
      <c r="Q47" s="67">
        <v>11.4</v>
      </c>
      <c r="R47" s="67">
        <v>11.4</v>
      </c>
      <c r="S47" s="67">
        <v>11.4</v>
      </c>
      <c r="T47" s="67">
        <v>11.4</v>
      </c>
      <c r="U47" s="67">
        <v>11.4</v>
      </c>
      <c r="V47" s="67">
        <v>11.4</v>
      </c>
      <c r="W47" s="67">
        <v>11.4</v>
      </c>
      <c r="X47" s="67">
        <v>11.4</v>
      </c>
      <c r="Y47" s="67">
        <v>17</v>
      </c>
      <c r="Z47" s="67">
        <v>17</v>
      </c>
      <c r="AA47" s="67">
        <v>17</v>
      </c>
      <c r="AB47" s="67">
        <v>11.4</v>
      </c>
      <c r="AC47" s="67">
        <v>11.4</v>
      </c>
      <c r="AD47" s="67">
        <v>11.4</v>
      </c>
      <c r="AE47" s="67">
        <v>11.4</v>
      </c>
      <c r="AF47" s="67">
        <v>11.4</v>
      </c>
      <c r="AG47" s="68">
        <v>22.1</v>
      </c>
      <c r="AH47" s="47">
        <f t="shared" si="2"/>
        <v>17</v>
      </c>
      <c r="AI47" s="48">
        <f t="shared" si="3"/>
        <v>9.6999999999999993</v>
      </c>
      <c r="AK47" s="49"/>
    </row>
    <row r="48" spans="1:88" ht="15.75" thickBot="1" x14ac:dyDescent="0.3">
      <c r="A48" s="69" t="s">
        <v>56</v>
      </c>
      <c r="B48" s="60">
        <v>37.700000000000003</v>
      </c>
      <c r="C48" s="60">
        <f t="shared" ref="C48:AG48" si="6">SUM(C45:C47)</f>
        <v>37.700000000000003</v>
      </c>
      <c r="D48" s="60">
        <f t="shared" si="6"/>
        <v>37.700000000000003</v>
      </c>
      <c r="E48" s="60">
        <f t="shared" si="6"/>
        <v>37.700000000000003</v>
      </c>
      <c r="F48" s="60">
        <f t="shared" si="6"/>
        <v>37.700000000000003</v>
      </c>
      <c r="G48" s="60">
        <f t="shared" si="6"/>
        <v>37.700000000000003</v>
      </c>
      <c r="H48" s="60">
        <f t="shared" si="6"/>
        <v>37.700000000000003</v>
      </c>
      <c r="I48" s="60">
        <f t="shared" si="6"/>
        <v>37.700000000000003</v>
      </c>
      <c r="J48" s="60">
        <f t="shared" si="6"/>
        <v>67.7</v>
      </c>
      <c r="K48" s="60">
        <f t="shared" si="6"/>
        <v>57.7</v>
      </c>
      <c r="L48" s="60">
        <f t="shared" si="6"/>
        <v>187.7</v>
      </c>
      <c r="M48" s="60">
        <f t="shared" si="6"/>
        <v>229.4</v>
      </c>
      <c r="N48" s="60">
        <f t="shared" si="6"/>
        <v>144.4</v>
      </c>
      <c r="O48" s="60">
        <f t="shared" si="6"/>
        <v>120.60000000000001</v>
      </c>
      <c r="P48" s="60">
        <f t="shared" si="6"/>
        <v>120.60000000000001</v>
      </c>
      <c r="Q48" s="60">
        <f t="shared" si="6"/>
        <v>134.4</v>
      </c>
      <c r="R48" s="60">
        <f t="shared" si="6"/>
        <v>54.4</v>
      </c>
      <c r="S48" s="60">
        <f t="shared" si="6"/>
        <v>89.4</v>
      </c>
      <c r="T48" s="60">
        <f t="shared" si="6"/>
        <v>89.4</v>
      </c>
      <c r="U48" s="60">
        <f t="shared" si="6"/>
        <v>89.4</v>
      </c>
      <c r="V48" s="60">
        <f t="shared" si="6"/>
        <v>109.4</v>
      </c>
      <c r="W48" s="60">
        <f t="shared" si="6"/>
        <v>109.4</v>
      </c>
      <c r="X48" s="60">
        <f t="shared" si="6"/>
        <v>129.4</v>
      </c>
      <c r="Y48" s="60">
        <f t="shared" si="6"/>
        <v>115</v>
      </c>
      <c r="Z48" s="60">
        <f t="shared" si="6"/>
        <v>115</v>
      </c>
      <c r="AA48" s="60">
        <f t="shared" si="6"/>
        <v>105</v>
      </c>
      <c r="AB48" s="60">
        <f t="shared" si="6"/>
        <v>89.4</v>
      </c>
      <c r="AC48" s="60">
        <f t="shared" si="6"/>
        <v>109.4</v>
      </c>
      <c r="AD48" s="60">
        <f t="shared" si="6"/>
        <v>109.4</v>
      </c>
      <c r="AE48" s="60">
        <f t="shared" si="6"/>
        <v>99.4</v>
      </c>
      <c r="AF48" s="60">
        <f t="shared" si="6"/>
        <v>39.4</v>
      </c>
      <c r="AG48" s="61">
        <f t="shared" si="6"/>
        <v>538.1</v>
      </c>
      <c r="AH48" s="47">
        <f t="shared" si="2"/>
        <v>229.4</v>
      </c>
      <c r="AI48" s="48">
        <f t="shared" si="3"/>
        <v>37.700000000000003</v>
      </c>
      <c r="AK48" s="49"/>
    </row>
    <row r="49" spans="1:41" x14ac:dyDescent="0.25">
      <c r="A49" s="44" t="s">
        <v>57</v>
      </c>
      <c r="B49" s="45">
        <v>30</v>
      </c>
      <c r="C49" s="45">
        <v>30</v>
      </c>
      <c r="D49" s="45">
        <v>30</v>
      </c>
      <c r="E49" s="45">
        <v>0</v>
      </c>
      <c r="F49" s="45">
        <v>0</v>
      </c>
      <c r="G49" s="45">
        <v>0</v>
      </c>
      <c r="H49" s="45">
        <v>22</v>
      </c>
      <c r="I49" s="45">
        <v>48</v>
      </c>
      <c r="J49" s="45">
        <v>61.5</v>
      </c>
      <c r="K49" s="45">
        <v>106.4</v>
      </c>
      <c r="L49" s="45">
        <v>123.4</v>
      </c>
      <c r="M49" s="45">
        <v>119.7</v>
      </c>
      <c r="N49" s="45">
        <v>113.1</v>
      </c>
      <c r="O49" s="45">
        <v>94.5</v>
      </c>
      <c r="P49" s="45">
        <v>123.8</v>
      </c>
      <c r="Q49" s="45">
        <v>123.8</v>
      </c>
      <c r="R49" s="45">
        <v>103.9</v>
      </c>
      <c r="S49" s="45">
        <v>88</v>
      </c>
      <c r="T49" s="45">
        <v>81</v>
      </c>
      <c r="U49" s="45">
        <v>94</v>
      </c>
      <c r="V49" s="45">
        <v>94</v>
      </c>
      <c r="W49" s="45">
        <v>94</v>
      </c>
      <c r="X49" s="45">
        <v>90</v>
      </c>
      <c r="Y49" s="45">
        <v>141</v>
      </c>
      <c r="Z49" s="45">
        <v>131</v>
      </c>
      <c r="AA49" s="45">
        <v>112</v>
      </c>
      <c r="AB49" s="45">
        <v>112</v>
      </c>
      <c r="AC49" s="45">
        <v>81.5</v>
      </c>
      <c r="AD49" s="45">
        <v>57</v>
      </c>
      <c r="AE49" s="45">
        <v>40.799999999999997</v>
      </c>
      <c r="AF49" s="45">
        <v>30</v>
      </c>
      <c r="AG49" s="51">
        <v>144</v>
      </c>
      <c r="AH49" s="47">
        <f t="shared" si="2"/>
        <v>141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16.8</v>
      </c>
      <c r="I50" s="65">
        <v>34.200000000000003</v>
      </c>
      <c r="J50" s="65">
        <v>49.5</v>
      </c>
      <c r="K50" s="65">
        <v>57.7</v>
      </c>
      <c r="L50" s="65">
        <v>54.1</v>
      </c>
      <c r="M50" s="65">
        <v>54.7</v>
      </c>
      <c r="N50" s="65">
        <v>55.3</v>
      </c>
      <c r="O50" s="65">
        <v>71</v>
      </c>
      <c r="P50" s="65">
        <v>51.5</v>
      </c>
      <c r="Q50" s="65">
        <v>50.4</v>
      </c>
      <c r="R50" s="45">
        <v>24.8</v>
      </c>
      <c r="S50" s="45">
        <v>35</v>
      </c>
      <c r="T50" s="45">
        <v>35</v>
      </c>
      <c r="U50" s="45">
        <v>64</v>
      </c>
      <c r="V50" s="45">
        <v>26</v>
      </c>
      <c r="W50" s="45">
        <v>26</v>
      </c>
      <c r="X50" s="45">
        <v>26</v>
      </c>
      <c r="Y50" s="45">
        <v>60</v>
      </c>
      <c r="Z50" s="45">
        <v>34</v>
      </c>
      <c r="AA50" s="45">
        <v>24</v>
      </c>
      <c r="AB50" s="45">
        <v>24</v>
      </c>
      <c r="AC50" s="65">
        <v>25.6</v>
      </c>
      <c r="AD50" s="65">
        <v>26</v>
      </c>
      <c r="AE50" s="65">
        <v>0</v>
      </c>
      <c r="AF50" s="65">
        <v>0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33</v>
      </c>
      <c r="G51" s="65">
        <v>32.799999999999997</v>
      </c>
      <c r="H51" s="65">
        <v>22</v>
      </c>
      <c r="I51" s="65">
        <v>21.2</v>
      </c>
      <c r="J51" s="65">
        <v>21</v>
      </c>
      <c r="K51" s="65">
        <v>45.3</v>
      </c>
      <c r="L51" s="65">
        <v>46</v>
      </c>
      <c r="M51" s="65">
        <v>46.1</v>
      </c>
      <c r="N51" s="65">
        <v>45.8</v>
      </c>
      <c r="O51" s="65">
        <v>45.9</v>
      </c>
      <c r="P51" s="65">
        <v>34.6</v>
      </c>
      <c r="Q51" s="65">
        <v>34.4</v>
      </c>
      <c r="R51" s="45">
        <v>34.799999999999997</v>
      </c>
      <c r="S51" s="45">
        <v>65</v>
      </c>
      <c r="T51" s="45">
        <v>55</v>
      </c>
      <c r="U51" s="45">
        <v>69</v>
      </c>
      <c r="V51" s="45">
        <v>61</v>
      </c>
      <c r="W51" s="45">
        <v>61</v>
      </c>
      <c r="X51" s="45">
        <v>64</v>
      </c>
      <c r="Y51" s="45">
        <v>63.3</v>
      </c>
      <c r="Z51" s="45">
        <v>63.3</v>
      </c>
      <c r="AA51" s="45">
        <v>63.3</v>
      </c>
      <c r="AB51" s="45">
        <v>63.3</v>
      </c>
      <c r="AC51" s="65">
        <v>33.700000000000003</v>
      </c>
      <c r="AD51" s="65">
        <v>34.1</v>
      </c>
      <c r="AE51" s="65">
        <v>0</v>
      </c>
      <c r="AF51" s="65">
        <v>0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42.6</v>
      </c>
      <c r="C52" s="56">
        <v>42.6</v>
      </c>
      <c r="D52" s="56">
        <v>42.6</v>
      </c>
      <c r="E52" s="56">
        <v>42.3</v>
      </c>
      <c r="F52" s="56">
        <v>44.3</v>
      </c>
      <c r="G52" s="56">
        <v>44.3</v>
      </c>
      <c r="H52" s="56">
        <v>46.4</v>
      </c>
      <c r="I52" s="56">
        <v>44.1</v>
      </c>
      <c r="J52" s="56">
        <v>44.3</v>
      </c>
      <c r="K52" s="56">
        <v>44.3</v>
      </c>
      <c r="L52" s="56">
        <v>44.3</v>
      </c>
      <c r="M52" s="65">
        <v>44.1</v>
      </c>
      <c r="N52" s="65">
        <v>44.1</v>
      </c>
      <c r="O52" s="65">
        <v>44.1</v>
      </c>
      <c r="P52" s="65">
        <v>44.3</v>
      </c>
      <c r="Q52" s="65">
        <v>43.3</v>
      </c>
      <c r="R52" s="45">
        <v>44.1</v>
      </c>
      <c r="S52" s="45">
        <v>44.1</v>
      </c>
      <c r="T52" s="45">
        <v>42</v>
      </c>
      <c r="U52" s="45">
        <v>42</v>
      </c>
      <c r="V52" s="45">
        <v>42</v>
      </c>
      <c r="W52" s="45">
        <v>42</v>
      </c>
      <c r="X52" s="45">
        <v>42</v>
      </c>
      <c r="Y52" s="65">
        <v>42</v>
      </c>
      <c r="Z52" s="65">
        <v>42</v>
      </c>
      <c r="AA52" s="65">
        <v>43</v>
      </c>
      <c r="AB52" s="65">
        <v>43</v>
      </c>
      <c r="AC52" s="65">
        <v>43</v>
      </c>
      <c r="AD52" s="65">
        <v>42.6</v>
      </c>
      <c r="AE52" s="65">
        <v>46.1</v>
      </c>
      <c r="AF52" s="65">
        <v>47.1</v>
      </c>
      <c r="AG52" s="54">
        <v>60</v>
      </c>
      <c r="AH52" s="47">
        <f t="shared" si="2"/>
        <v>47.1</v>
      </c>
      <c r="AI52" s="48">
        <f t="shared" si="3"/>
        <v>42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13</v>
      </c>
      <c r="I53" s="56">
        <v>13</v>
      </c>
      <c r="J53" s="56">
        <v>15</v>
      </c>
      <c r="K53" s="56">
        <v>15</v>
      </c>
      <c r="L53" s="56">
        <v>15</v>
      </c>
      <c r="M53" s="65">
        <v>15</v>
      </c>
      <c r="N53" s="65">
        <v>15</v>
      </c>
      <c r="O53" s="65">
        <v>0</v>
      </c>
      <c r="P53" s="65">
        <v>0</v>
      </c>
      <c r="Q53" s="65">
        <v>0</v>
      </c>
      <c r="R53" s="45">
        <v>25</v>
      </c>
      <c r="S53" s="45">
        <v>25</v>
      </c>
      <c r="T53" s="45">
        <v>13</v>
      </c>
      <c r="U53" s="45">
        <v>15</v>
      </c>
      <c r="V53" s="45">
        <v>15</v>
      </c>
      <c r="W53" s="45">
        <v>15</v>
      </c>
      <c r="X53" s="45">
        <v>15</v>
      </c>
      <c r="Y53" s="65">
        <v>15</v>
      </c>
      <c r="Z53" s="65">
        <v>25</v>
      </c>
      <c r="AA53" s="65">
        <v>25</v>
      </c>
      <c r="AB53" s="65">
        <v>25</v>
      </c>
      <c r="AC53" s="65">
        <v>25</v>
      </c>
      <c r="AD53" s="65">
        <v>0</v>
      </c>
      <c r="AE53" s="65">
        <v>0</v>
      </c>
      <c r="AF53" s="65">
        <v>0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8</v>
      </c>
      <c r="T54" s="45">
        <v>8</v>
      </c>
      <c r="U54" s="45">
        <v>8</v>
      </c>
      <c r="V54" s="45">
        <v>8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12.9</v>
      </c>
      <c r="C55" s="65">
        <v>12.9</v>
      </c>
      <c r="D55" s="65">
        <v>12.9</v>
      </c>
      <c r="E55" s="65">
        <v>12.9</v>
      </c>
      <c r="F55" s="65">
        <v>12.9</v>
      </c>
      <c r="G55" s="65">
        <v>12.9</v>
      </c>
      <c r="H55" s="65">
        <v>12.9</v>
      </c>
      <c r="I55" s="65">
        <v>12.9</v>
      </c>
      <c r="J55" s="65">
        <v>12.9</v>
      </c>
      <c r="K55" s="65">
        <v>12.9</v>
      </c>
      <c r="L55" s="65">
        <v>12.9</v>
      </c>
      <c r="M55" s="65">
        <v>12.9</v>
      </c>
      <c r="N55" s="65">
        <v>12.9</v>
      </c>
      <c r="O55" s="65">
        <v>12.9</v>
      </c>
      <c r="P55" s="65">
        <v>12.9</v>
      </c>
      <c r="Q55" s="65">
        <v>12.9</v>
      </c>
      <c r="R55" s="65">
        <v>12.9</v>
      </c>
      <c r="S55" s="65">
        <v>12.9</v>
      </c>
      <c r="T55" s="65">
        <v>12.9</v>
      </c>
      <c r="U55" s="65">
        <v>12.9</v>
      </c>
      <c r="V55" s="65">
        <v>12.9</v>
      </c>
      <c r="W55" s="65">
        <v>12.9</v>
      </c>
      <c r="X55" s="65">
        <v>12.9</v>
      </c>
      <c r="Y55" s="65">
        <v>12.9</v>
      </c>
      <c r="Z55" s="65">
        <v>12.9</v>
      </c>
      <c r="AA55" s="65">
        <v>12.9</v>
      </c>
      <c r="AB55" s="65">
        <v>12.9</v>
      </c>
      <c r="AC55" s="65">
        <v>12.9</v>
      </c>
      <c r="AD55" s="65">
        <v>12.9</v>
      </c>
      <c r="AE55" s="65">
        <v>12.9</v>
      </c>
      <c r="AF55" s="65">
        <v>12.9</v>
      </c>
      <c r="AG55" s="54">
        <v>24</v>
      </c>
      <c r="AH55" s="47">
        <f t="shared" si="2"/>
        <v>12.9</v>
      </c>
      <c r="AI55" s="48">
        <f t="shared" si="3"/>
        <v>12.9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0</v>
      </c>
      <c r="AB56" s="65">
        <v>0</v>
      </c>
      <c r="AC56" s="65">
        <v>0</v>
      </c>
      <c r="AD56" s="65">
        <v>0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0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9.8000000000000007</v>
      </c>
      <c r="C57" s="65">
        <v>9.8000000000000007</v>
      </c>
      <c r="D57" s="65">
        <v>9.8000000000000007</v>
      </c>
      <c r="E57" s="65">
        <v>9.8000000000000007</v>
      </c>
      <c r="F57" s="65">
        <v>9.8000000000000007</v>
      </c>
      <c r="G57" s="65">
        <v>9.8000000000000007</v>
      </c>
      <c r="H57" s="65">
        <v>9.8000000000000007</v>
      </c>
      <c r="I57" s="65">
        <v>9.8000000000000007</v>
      </c>
      <c r="J57" s="65">
        <v>9.8000000000000007</v>
      </c>
      <c r="K57" s="65">
        <v>9.8000000000000007</v>
      </c>
      <c r="L57" s="65">
        <v>9.8000000000000007</v>
      </c>
      <c r="M57" s="65">
        <v>9.8000000000000007</v>
      </c>
      <c r="N57" s="65">
        <v>9.8000000000000007</v>
      </c>
      <c r="O57" s="65">
        <v>9.8000000000000007</v>
      </c>
      <c r="P57" s="65">
        <v>9.8000000000000007</v>
      </c>
      <c r="Q57" s="65">
        <v>9.8000000000000007</v>
      </c>
      <c r="R57" s="65">
        <v>9.8000000000000007</v>
      </c>
      <c r="S57" s="65">
        <v>9.8000000000000007</v>
      </c>
      <c r="T57" s="65">
        <v>9.8000000000000007</v>
      </c>
      <c r="U57" s="65">
        <v>9.8000000000000007</v>
      </c>
      <c r="V57" s="65">
        <v>9.8000000000000007</v>
      </c>
      <c r="W57" s="65">
        <v>9.8000000000000007</v>
      </c>
      <c r="X57" s="65">
        <v>9.8000000000000007</v>
      </c>
      <c r="Y57" s="65">
        <v>9.8000000000000007</v>
      </c>
      <c r="Z57" s="65">
        <v>9.8000000000000007</v>
      </c>
      <c r="AA57" s="65">
        <v>9.8000000000000007</v>
      </c>
      <c r="AB57" s="65">
        <v>9.8000000000000007</v>
      </c>
      <c r="AC57" s="65">
        <v>9.8000000000000007</v>
      </c>
      <c r="AD57" s="65">
        <v>9.8000000000000007</v>
      </c>
      <c r="AE57" s="65">
        <v>9.8000000000000007</v>
      </c>
      <c r="AF57" s="65">
        <v>9.8000000000000007</v>
      </c>
      <c r="AG57" s="54">
        <v>14.1</v>
      </c>
      <c r="AH57" s="47">
        <f t="shared" si="2"/>
        <v>9.8000000000000007</v>
      </c>
      <c r="AI57" s="48">
        <f t="shared" si="3"/>
        <v>9.8000000000000007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v>122.04000000000002</v>
      </c>
      <c r="C62" s="60">
        <f t="shared" ref="C62:AG62" si="7">SUM(C49:C61)</f>
        <v>114.44000000000001</v>
      </c>
      <c r="D62" s="60">
        <f t="shared" si="7"/>
        <v>114.44000000000001</v>
      </c>
      <c r="E62" s="60">
        <f t="shared" si="7"/>
        <v>84.140000000000015</v>
      </c>
      <c r="F62" s="60">
        <f t="shared" si="7"/>
        <v>119.14000000000001</v>
      </c>
      <c r="G62" s="60">
        <f t="shared" si="7"/>
        <v>118.94000000000001</v>
      </c>
      <c r="H62" s="60">
        <f t="shared" si="7"/>
        <v>162.03999999999996</v>
      </c>
      <c r="I62" s="60">
        <f t="shared" si="7"/>
        <v>202.33999999999997</v>
      </c>
      <c r="J62" s="60">
        <f t="shared" si="7"/>
        <v>233.14</v>
      </c>
      <c r="K62" s="60">
        <f t="shared" si="7"/>
        <v>310.54000000000002</v>
      </c>
      <c r="L62" s="60">
        <f t="shared" si="7"/>
        <v>324.64</v>
      </c>
      <c r="M62" s="60">
        <f t="shared" si="7"/>
        <v>321.44</v>
      </c>
      <c r="N62" s="60">
        <f t="shared" si="7"/>
        <v>315.14</v>
      </c>
      <c r="O62" s="60">
        <f t="shared" si="7"/>
        <v>297.33999999999997</v>
      </c>
      <c r="P62" s="60">
        <f t="shared" si="7"/>
        <v>296.03999999999996</v>
      </c>
      <c r="Q62" s="60">
        <f t="shared" si="7"/>
        <v>293.73999999999995</v>
      </c>
      <c r="R62" s="60">
        <f t="shared" si="7"/>
        <v>274.44</v>
      </c>
      <c r="S62" s="60">
        <f t="shared" si="7"/>
        <v>306.94</v>
      </c>
      <c r="T62" s="60">
        <f t="shared" si="7"/>
        <v>275.83999999999997</v>
      </c>
      <c r="U62" s="60">
        <f t="shared" si="7"/>
        <v>333.84</v>
      </c>
      <c r="V62" s="60">
        <f t="shared" si="7"/>
        <v>287.83999999999997</v>
      </c>
      <c r="W62" s="60">
        <f t="shared" si="7"/>
        <v>279.83999999999997</v>
      </c>
      <c r="X62" s="60">
        <f t="shared" si="7"/>
        <v>278.83999999999997</v>
      </c>
      <c r="Y62" s="60">
        <f t="shared" si="7"/>
        <v>363.14</v>
      </c>
      <c r="Z62" s="60">
        <f t="shared" si="7"/>
        <v>337.14</v>
      </c>
      <c r="AA62" s="60">
        <f t="shared" si="7"/>
        <v>305.94</v>
      </c>
      <c r="AB62" s="60">
        <f t="shared" si="7"/>
        <v>305.94</v>
      </c>
      <c r="AC62" s="60">
        <f t="shared" si="7"/>
        <v>247.44</v>
      </c>
      <c r="AD62" s="60">
        <f t="shared" si="7"/>
        <v>198.33999999999997</v>
      </c>
      <c r="AE62" s="60">
        <f t="shared" si="7"/>
        <v>128.74</v>
      </c>
      <c r="AF62" s="60">
        <f t="shared" si="7"/>
        <v>118.94000000000001</v>
      </c>
      <c r="AG62" s="61">
        <f t="shared" si="7"/>
        <v>489.91</v>
      </c>
      <c r="AH62" s="47">
        <f t="shared" si="2"/>
        <v>363.14</v>
      </c>
      <c r="AI62" s="48">
        <f t="shared" si="3"/>
        <v>84.140000000000015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30</v>
      </c>
      <c r="Z63" s="45">
        <v>30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30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2</v>
      </c>
      <c r="Q64" s="45">
        <v>0</v>
      </c>
      <c r="R64" s="45">
        <v>0</v>
      </c>
      <c r="S64" s="45">
        <v>0</v>
      </c>
      <c r="T64" s="4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13.1</v>
      </c>
      <c r="Z64" s="65">
        <v>15.2</v>
      </c>
      <c r="AA64" s="65">
        <v>4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15.2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0</v>
      </c>
      <c r="R65" s="45">
        <v>0</v>
      </c>
      <c r="S65" s="45">
        <v>0</v>
      </c>
      <c r="T65" s="45">
        <v>0</v>
      </c>
      <c r="U65" s="67">
        <v>0</v>
      </c>
      <c r="V65" s="67">
        <v>0</v>
      </c>
      <c r="W65" s="67">
        <v>0</v>
      </c>
      <c r="X65" s="67">
        <v>0</v>
      </c>
      <c r="Y65" s="67">
        <v>5</v>
      </c>
      <c r="Z65" s="67">
        <v>5.6</v>
      </c>
      <c r="AA65" s="67">
        <v>1.6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5.6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8">M63+M64+M65</f>
        <v>0</v>
      </c>
      <c r="N66" s="60">
        <f t="shared" si="8"/>
        <v>0</v>
      </c>
      <c r="O66" s="60">
        <f t="shared" si="8"/>
        <v>0</v>
      </c>
      <c r="P66" s="60">
        <f t="shared" si="8"/>
        <v>2</v>
      </c>
      <c r="Q66" s="60">
        <f t="shared" si="8"/>
        <v>0</v>
      </c>
      <c r="R66" s="60">
        <f t="shared" si="8"/>
        <v>0</v>
      </c>
      <c r="S66" s="60">
        <f t="shared" si="8"/>
        <v>0</v>
      </c>
      <c r="T66" s="60">
        <f t="shared" si="8"/>
        <v>0</v>
      </c>
      <c r="U66" s="60">
        <f t="shared" si="8"/>
        <v>0</v>
      </c>
      <c r="V66" s="60">
        <f t="shared" si="8"/>
        <v>0</v>
      </c>
      <c r="W66" s="60">
        <f t="shared" si="8"/>
        <v>0</v>
      </c>
      <c r="X66" s="60">
        <f t="shared" si="8"/>
        <v>0</v>
      </c>
      <c r="Y66" s="60">
        <f t="shared" si="8"/>
        <v>48.1</v>
      </c>
      <c r="Z66" s="60">
        <f t="shared" si="8"/>
        <v>50.800000000000004</v>
      </c>
      <c r="AA66" s="60">
        <f t="shared" si="8"/>
        <v>5.6</v>
      </c>
      <c r="AB66" s="60">
        <f t="shared" si="8"/>
        <v>0</v>
      </c>
      <c r="AC66" s="60">
        <f t="shared" si="8"/>
        <v>0</v>
      </c>
      <c r="AD66" s="60">
        <f t="shared" si="8"/>
        <v>0</v>
      </c>
      <c r="AE66" s="60">
        <f t="shared" si="8"/>
        <v>0</v>
      </c>
      <c r="AF66" s="60">
        <f t="shared" si="8"/>
        <v>0</v>
      </c>
      <c r="AG66" s="61">
        <f>SUM(AG63:AG65)</f>
        <v>106</v>
      </c>
      <c r="AH66" s="47">
        <f t="shared" si="2"/>
        <v>50.800000000000004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286</v>
      </c>
      <c r="C69" s="65">
        <v>272</v>
      </c>
      <c r="D69" s="65">
        <v>290</v>
      </c>
      <c r="E69" s="65">
        <v>335.2</v>
      </c>
      <c r="F69" s="65">
        <v>306</v>
      </c>
      <c r="G69" s="65">
        <v>310.8</v>
      </c>
      <c r="H69" s="65">
        <v>345</v>
      </c>
      <c r="I69" s="65">
        <v>348</v>
      </c>
      <c r="J69" s="65">
        <v>356</v>
      </c>
      <c r="K69" s="65">
        <v>316</v>
      </c>
      <c r="L69" s="65">
        <v>206</v>
      </c>
      <c r="M69" s="65">
        <v>265.3</v>
      </c>
      <c r="N69" s="65">
        <v>343.7</v>
      </c>
      <c r="O69" s="65">
        <v>357</v>
      </c>
      <c r="P69" s="65">
        <v>348</v>
      </c>
      <c r="Q69" s="65">
        <v>334</v>
      </c>
      <c r="R69" s="65">
        <v>341.1</v>
      </c>
      <c r="S69" s="65">
        <v>301</v>
      </c>
      <c r="T69" s="65">
        <v>338</v>
      </c>
      <c r="U69" s="65">
        <v>346</v>
      </c>
      <c r="V69" s="65">
        <v>337</v>
      </c>
      <c r="W69" s="65">
        <v>335</v>
      </c>
      <c r="X69" s="65">
        <v>350</v>
      </c>
      <c r="Y69" s="65">
        <v>342</v>
      </c>
      <c r="Z69" s="65">
        <v>322</v>
      </c>
      <c r="AA69" s="65">
        <v>328</v>
      </c>
      <c r="AB69" s="65">
        <v>324.5</v>
      </c>
      <c r="AC69" s="65">
        <v>334.2</v>
      </c>
      <c r="AD69" s="65">
        <v>338</v>
      </c>
      <c r="AE69" s="65">
        <v>341.2</v>
      </c>
      <c r="AF69" s="65">
        <v>325.2</v>
      </c>
      <c r="AG69" s="75"/>
      <c r="AH69" s="47">
        <f t="shared" si="2"/>
        <v>357</v>
      </c>
      <c r="AI69" s="48">
        <f t="shared" si="3"/>
        <v>206</v>
      </c>
      <c r="AK69" s="49"/>
    </row>
    <row r="70" spans="1:40" x14ac:dyDescent="0.25">
      <c r="A70" s="53" t="s">
        <v>78</v>
      </c>
      <c r="B70" s="76">
        <v>46.2</v>
      </c>
      <c r="C70" s="76">
        <v>46.2</v>
      </c>
      <c r="D70" s="76">
        <v>47.8</v>
      </c>
      <c r="E70" s="76">
        <v>47.9</v>
      </c>
      <c r="F70" s="76">
        <v>46.6</v>
      </c>
      <c r="G70" s="76">
        <v>46.9</v>
      </c>
      <c r="H70" s="76">
        <v>48.7</v>
      </c>
      <c r="I70" s="76">
        <v>53.3</v>
      </c>
      <c r="J70" s="76">
        <v>55.2</v>
      </c>
      <c r="K70" s="76">
        <v>57.1</v>
      </c>
      <c r="L70" s="76">
        <v>57.3</v>
      </c>
      <c r="M70" s="76">
        <v>59.7</v>
      </c>
      <c r="N70" s="76">
        <v>63.4</v>
      </c>
      <c r="O70" s="76">
        <v>64.5</v>
      </c>
      <c r="P70" s="76">
        <v>64.900000000000006</v>
      </c>
      <c r="Q70" s="76">
        <v>64.2</v>
      </c>
      <c r="R70" s="76">
        <v>63.3</v>
      </c>
      <c r="S70" s="76">
        <v>63.3</v>
      </c>
      <c r="T70" s="76">
        <v>63.3</v>
      </c>
      <c r="U70" s="76">
        <v>66</v>
      </c>
      <c r="V70" s="76">
        <v>63</v>
      </c>
      <c r="W70" s="76">
        <v>55</v>
      </c>
      <c r="X70" s="76">
        <v>52</v>
      </c>
      <c r="Y70" s="65">
        <v>61</v>
      </c>
      <c r="Z70" s="65">
        <v>61</v>
      </c>
      <c r="AA70" s="65">
        <v>60</v>
      </c>
      <c r="AB70" s="65">
        <v>0</v>
      </c>
      <c r="AC70" s="65">
        <v>0</v>
      </c>
      <c r="AD70" s="65">
        <v>0</v>
      </c>
      <c r="AE70" s="65">
        <v>51.2</v>
      </c>
      <c r="AF70" s="65">
        <v>52.1</v>
      </c>
      <c r="AG70" s="75"/>
      <c r="AH70" s="47">
        <f t="shared" si="2"/>
        <v>66</v>
      </c>
      <c r="AI70" s="48">
        <f t="shared" si="3"/>
        <v>0</v>
      </c>
      <c r="AK70" s="49"/>
    </row>
    <row r="71" spans="1:40" x14ac:dyDescent="0.25">
      <c r="A71" s="53" t="s">
        <v>79</v>
      </c>
      <c r="B71" s="45">
        <v>18</v>
      </c>
      <c r="C71" s="45">
        <v>18</v>
      </c>
      <c r="D71" s="45">
        <v>22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22</v>
      </c>
      <c r="K71" s="45">
        <v>26</v>
      </c>
      <c r="L71" s="45">
        <v>72</v>
      </c>
      <c r="M71" s="45">
        <v>65</v>
      </c>
      <c r="N71" s="45">
        <v>72</v>
      </c>
      <c r="O71" s="45">
        <v>83</v>
      </c>
      <c r="P71" s="45">
        <v>84</v>
      </c>
      <c r="Q71" s="45">
        <v>60</v>
      </c>
      <c r="R71" s="45">
        <v>60</v>
      </c>
      <c r="S71" s="45">
        <v>76</v>
      </c>
      <c r="T71" s="45">
        <v>76</v>
      </c>
      <c r="U71" s="45">
        <v>76</v>
      </c>
      <c r="V71" s="45">
        <v>76</v>
      </c>
      <c r="W71" s="45">
        <v>68</v>
      </c>
      <c r="X71" s="45">
        <v>68</v>
      </c>
      <c r="Y71" s="45">
        <v>68</v>
      </c>
      <c r="Z71" s="45">
        <v>68</v>
      </c>
      <c r="AA71" s="45">
        <v>68</v>
      </c>
      <c r="AB71" s="45">
        <v>80</v>
      </c>
      <c r="AC71" s="45">
        <v>70</v>
      </c>
      <c r="AD71" s="45">
        <v>70</v>
      </c>
      <c r="AE71" s="45">
        <v>72.099999999999994</v>
      </c>
      <c r="AF71" s="45">
        <v>73.5</v>
      </c>
      <c r="AG71" s="75"/>
      <c r="AH71" s="47">
        <f t="shared" si="2"/>
        <v>84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9">MAX(B75:AF75)</f>
        <v>0</v>
      </c>
      <c r="AI75" s="48">
        <f t="shared" ref="AI75:AI113" si="10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9"/>
        <v>0</v>
      </c>
      <c r="AI76" s="48">
        <f t="shared" si="10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9"/>
        <v>0</v>
      </c>
      <c r="AI77" s="48">
        <f t="shared" si="10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v>389.5</v>
      </c>
      <c r="C78" s="60">
        <f t="shared" ref="C78:AF78" si="11">SUMIF(C67:C77,"&gt;0")</f>
        <v>341.2</v>
      </c>
      <c r="D78" s="60">
        <f t="shared" si="11"/>
        <v>364.8</v>
      </c>
      <c r="E78" s="60">
        <f t="shared" si="11"/>
        <v>388.09999999999997</v>
      </c>
      <c r="F78" s="60">
        <f t="shared" si="11"/>
        <v>357.6</v>
      </c>
      <c r="G78" s="60">
        <f t="shared" si="11"/>
        <v>362.7</v>
      </c>
      <c r="H78" s="60">
        <f t="shared" si="11"/>
        <v>398.7</v>
      </c>
      <c r="I78" s="60">
        <f t="shared" si="11"/>
        <v>406.3</v>
      </c>
      <c r="J78" s="60">
        <f t="shared" si="11"/>
        <v>438.2</v>
      </c>
      <c r="K78" s="60">
        <f t="shared" si="11"/>
        <v>404.1</v>
      </c>
      <c r="L78" s="60">
        <f t="shared" si="11"/>
        <v>340.3</v>
      </c>
      <c r="M78" s="60">
        <f t="shared" si="11"/>
        <v>395</v>
      </c>
      <c r="N78" s="60">
        <f t="shared" si="11"/>
        <v>484.09999999999997</v>
      </c>
      <c r="O78" s="60">
        <f t="shared" si="11"/>
        <v>509.5</v>
      </c>
      <c r="P78" s="60">
        <f t="shared" si="11"/>
        <v>501.9</v>
      </c>
      <c r="Q78" s="60">
        <f t="shared" si="11"/>
        <v>463.2</v>
      </c>
      <c r="R78" s="60">
        <f t="shared" si="11"/>
        <v>469.40000000000003</v>
      </c>
      <c r="S78" s="60">
        <f t="shared" si="11"/>
        <v>445.3</v>
      </c>
      <c r="T78" s="60">
        <f t="shared" si="11"/>
        <v>482.3</v>
      </c>
      <c r="U78" s="60">
        <f t="shared" si="11"/>
        <v>493</v>
      </c>
      <c r="V78" s="60">
        <f t="shared" si="11"/>
        <v>481</v>
      </c>
      <c r="W78" s="60">
        <f t="shared" si="11"/>
        <v>463</v>
      </c>
      <c r="X78" s="60">
        <f t="shared" si="11"/>
        <v>475</v>
      </c>
      <c r="Y78" s="60">
        <f t="shared" si="11"/>
        <v>476</v>
      </c>
      <c r="Z78" s="60">
        <f t="shared" si="11"/>
        <v>456</v>
      </c>
      <c r="AA78" s="60">
        <f t="shared" si="11"/>
        <v>461</v>
      </c>
      <c r="AB78" s="60">
        <f t="shared" si="11"/>
        <v>409.5</v>
      </c>
      <c r="AC78" s="60">
        <f t="shared" si="11"/>
        <v>409.2</v>
      </c>
      <c r="AD78" s="60">
        <f t="shared" si="11"/>
        <v>413</v>
      </c>
      <c r="AE78" s="60">
        <f t="shared" si="11"/>
        <v>469.5</v>
      </c>
      <c r="AF78" s="60">
        <f t="shared" si="11"/>
        <v>455.8</v>
      </c>
      <c r="AG78" s="88">
        <f>SUM(AG67:AG77)</f>
        <v>0</v>
      </c>
      <c r="AH78" s="47">
        <f t="shared" si="9"/>
        <v>509.5</v>
      </c>
      <c r="AI78" s="48">
        <f t="shared" si="10"/>
        <v>340.3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9"/>
        <v>0</v>
      </c>
      <c r="AI79" s="48">
        <f t="shared" si="10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9"/>
        <v>0</v>
      </c>
      <c r="AI80" s="48">
        <f t="shared" si="10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9"/>
        <v>0</v>
      </c>
      <c r="AI81" s="48">
        <f t="shared" si="10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9"/>
        <v>0</v>
      </c>
      <c r="AI82" s="48">
        <f t="shared" si="10"/>
        <v>0</v>
      </c>
    </row>
    <row r="83" spans="1:37" ht="15.75" thickBot="1" x14ac:dyDescent="0.3">
      <c r="A83" s="74" t="s">
        <v>94</v>
      </c>
      <c r="B83" s="95">
        <v>908.44</v>
      </c>
      <c r="C83" s="95">
        <f t="shared" ref="C83:AG83" si="12">C44+C48+C66+C62+C78+C82</f>
        <v>852.54</v>
      </c>
      <c r="D83" s="95">
        <f t="shared" si="12"/>
        <v>880.04</v>
      </c>
      <c r="E83" s="95">
        <f t="shared" si="12"/>
        <v>873.04</v>
      </c>
      <c r="F83" s="95">
        <f t="shared" si="12"/>
        <v>877.54000000000008</v>
      </c>
      <c r="G83" s="95">
        <f t="shared" si="12"/>
        <v>882.44</v>
      </c>
      <c r="H83" s="95">
        <f t="shared" si="12"/>
        <v>961.54</v>
      </c>
      <c r="I83" s="95">
        <f t="shared" si="12"/>
        <v>1009.44</v>
      </c>
      <c r="J83" s="95">
        <f t="shared" si="12"/>
        <v>1102.1400000000001</v>
      </c>
      <c r="K83" s="95">
        <f t="shared" si="12"/>
        <v>1135.44</v>
      </c>
      <c r="L83" s="95">
        <f t="shared" si="12"/>
        <v>1215.74</v>
      </c>
      <c r="M83" s="95">
        <f t="shared" si="12"/>
        <v>1308.94</v>
      </c>
      <c r="N83" s="95">
        <f t="shared" si="12"/>
        <v>1305.24</v>
      </c>
      <c r="O83" s="95">
        <f t="shared" si="12"/>
        <v>1289.04</v>
      </c>
      <c r="P83" s="95">
        <f t="shared" si="12"/>
        <v>1282.1399999999999</v>
      </c>
      <c r="Q83" s="95">
        <f t="shared" si="12"/>
        <v>1252.94</v>
      </c>
      <c r="R83" s="95">
        <f t="shared" si="12"/>
        <v>1159.8399999999999</v>
      </c>
      <c r="S83" s="95">
        <f t="shared" si="12"/>
        <v>1203.24</v>
      </c>
      <c r="T83" s="95">
        <f t="shared" si="12"/>
        <v>1200.8399999999999</v>
      </c>
      <c r="U83" s="95">
        <f t="shared" si="12"/>
        <v>1269.54</v>
      </c>
      <c r="V83" s="95">
        <f t="shared" si="12"/>
        <v>1231.54</v>
      </c>
      <c r="W83" s="95">
        <f t="shared" si="12"/>
        <v>1205.54</v>
      </c>
      <c r="X83" s="95">
        <f t="shared" si="12"/>
        <v>1236.54</v>
      </c>
      <c r="Y83" s="95">
        <f t="shared" si="12"/>
        <v>1355.54</v>
      </c>
      <c r="Z83" s="95">
        <f t="shared" si="12"/>
        <v>1312.2399999999998</v>
      </c>
      <c r="AA83" s="95">
        <f t="shared" si="12"/>
        <v>1230.8399999999999</v>
      </c>
      <c r="AB83" s="95">
        <f t="shared" si="12"/>
        <v>1158.1399999999999</v>
      </c>
      <c r="AC83" s="95">
        <f t="shared" si="12"/>
        <v>1119.3399999999999</v>
      </c>
      <c r="AD83" s="95">
        <f t="shared" si="12"/>
        <v>1074.04</v>
      </c>
      <c r="AE83" s="95">
        <f t="shared" si="12"/>
        <v>1059.6399999999999</v>
      </c>
      <c r="AF83" s="95">
        <f t="shared" si="12"/>
        <v>976.24</v>
      </c>
      <c r="AG83" s="61">
        <f t="shared" si="12"/>
        <v>2004.1900000000003</v>
      </c>
      <c r="AH83" s="47">
        <f>MAX(B83:AF83)</f>
        <v>1355.54</v>
      </c>
      <c r="AI83" s="48">
        <f>MIN(B83:AF83)</f>
        <v>852.54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50</v>
      </c>
      <c r="L84" s="97">
        <v>180</v>
      </c>
      <c r="M84" s="97">
        <v>150</v>
      </c>
      <c r="N84" s="97">
        <v>150</v>
      </c>
      <c r="O84" s="97">
        <v>150</v>
      </c>
      <c r="P84" s="97">
        <v>100</v>
      </c>
      <c r="Q84" s="97">
        <v>60</v>
      </c>
      <c r="R84" s="97">
        <v>60</v>
      </c>
      <c r="S84" s="97"/>
      <c r="T84" s="97"/>
      <c r="U84" s="97"/>
      <c r="V84" s="97"/>
      <c r="W84" s="97"/>
      <c r="X84" s="97"/>
      <c r="Y84" s="97"/>
      <c r="Z84" s="97">
        <v>160</v>
      </c>
      <c r="AA84" s="97">
        <v>160</v>
      </c>
      <c r="AB84" s="97">
        <v>150</v>
      </c>
      <c r="AC84" s="97">
        <v>100</v>
      </c>
      <c r="AD84" s="97">
        <v>50</v>
      </c>
      <c r="AE84" s="97"/>
      <c r="AF84" s="97"/>
      <c r="AG84" s="88"/>
      <c r="AH84" s="47">
        <f t="shared" si="9"/>
        <v>180</v>
      </c>
      <c r="AI84" s="48">
        <f t="shared" si="10"/>
        <v>50</v>
      </c>
    </row>
    <row r="85" spans="1:37" ht="15.75" thickBot="1" x14ac:dyDescent="0.3">
      <c r="A85" s="74" t="s">
        <v>96</v>
      </c>
      <c r="B85" s="95">
        <v>908.44</v>
      </c>
      <c r="C85" s="95">
        <f t="shared" ref="C85:AF85" si="13">C83+C84</f>
        <v>852.54</v>
      </c>
      <c r="D85" s="95">
        <f t="shared" si="13"/>
        <v>880.04</v>
      </c>
      <c r="E85" s="95">
        <f t="shared" si="13"/>
        <v>873.04</v>
      </c>
      <c r="F85" s="95">
        <f t="shared" si="13"/>
        <v>877.54000000000008</v>
      </c>
      <c r="G85" s="95">
        <f t="shared" si="13"/>
        <v>882.44</v>
      </c>
      <c r="H85" s="95">
        <f t="shared" si="13"/>
        <v>961.54</v>
      </c>
      <c r="I85" s="95">
        <f t="shared" si="13"/>
        <v>1009.44</v>
      </c>
      <c r="J85" s="95">
        <f t="shared" si="13"/>
        <v>1102.1400000000001</v>
      </c>
      <c r="K85" s="95">
        <f t="shared" si="13"/>
        <v>1185.44</v>
      </c>
      <c r="L85" s="95">
        <f t="shared" si="13"/>
        <v>1395.74</v>
      </c>
      <c r="M85" s="95">
        <f t="shared" si="13"/>
        <v>1458.94</v>
      </c>
      <c r="N85" s="95">
        <f t="shared" si="13"/>
        <v>1455.24</v>
      </c>
      <c r="O85" s="95">
        <f t="shared" si="13"/>
        <v>1439.04</v>
      </c>
      <c r="P85" s="95">
        <f t="shared" si="13"/>
        <v>1382.1399999999999</v>
      </c>
      <c r="Q85" s="95">
        <f t="shared" si="13"/>
        <v>1312.94</v>
      </c>
      <c r="R85" s="95">
        <f t="shared" si="13"/>
        <v>1219.8399999999999</v>
      </c>
      <c r="S85" s="95">
        <f t="shared" si="13"/>
        <v>1203.24</v>
      </c>
      <c r="T85" s="95">
        <f t="shared" si="13"/>
        <v>1200.8399999999999</v>
      </c>
      <c r="U85" s="95">
        <f t="shared" si="13"/>
        <v>1269.54</v>
      </c>
      <c r="V85" s="95">
        <f t="shared" si="13"/>
        <v>1231.54</v>
      </c>
      <c r="W85" s="95">
        <f t="shared" si="13"/>
        <v>1205.54</v>
      </c>
      <c r="X85" s="95">
        <f t="shared" si="13"/>
        <v>1236.54</v>
      </c>
      <c r="Y85" s="95">
        <f t="shared" si="13"/>
        <v>1355.54</v>
      </c>
      <c r="Z85" s="95">
        <f t="shared" si="13"/>
        <v>1472.2399999999998</v>
      </c>
      <c r="AA85" s="95">
        <f t="shared" si="13"/>
        <v>1390.84</v>
      </c>
      <c r="AB85" s="95">
        <f t="shared" si="13"/>
        <v>1308.1399999999999</v>
      </c>
      <c r="AC85" s="95">
        <f t="shared" si="13"/>
        <v>1219.3399999999999</v>
      </c>
      <c r="AD85" s="95">
        <f t="shared" si="13"/>
        <v>1124.04</v>
      </c>
      <c r="AE85" s="95">
        <f t="shared" si="13"/>
        <v>1059.6399999999999</v>
      </c>
      <c r="AF85" s="95">
        <f t="shared" si="13"/>
        <v>976.24</v>
      </c>
      <c r="AG85" s="88">
        <f>AG82+AG78+AG66+AG62+AG44+AG84</f>
        <v>1466.0900000000001</v>
      </c>
      <c r="AH85" s="47">
        <f t="shared" si="9"/>
        <v>1472.2399999999998</v>
      </c>
      <c r="AI85" s="48">
        <f t="shared" si="10"/>
        <v>852.54</v>
      </c>
    </row>
    <row r="86" spans="1:37" ht="15.75" thickBot="1" x14ac:dyDescent="0.3">
      <c r="A86" s="74" t="s">
        <v>97</v>
      </c>
      <c r="B86" s="95">
        <v>908.44</v>
      </c>
      <c r="C86" s="95">
        <f t="shared" ref="C86:AF86" si="14">C85-C93</f>
        <v>852.54</v>
      </c>
      <c r="D86" s="95">
        <f t="shared" si="14"/>
        <v>880.04</v>
      </c>
      <c r="E86" s="95">
        <f t="shared" si="14"/>
        <v>873.04</v>
      </c>
      <c r="F86" s="95">
        <f t="shared" si="14"/>
        <v>877.54000000000008</v>
      </c>
      <c r="G86" s="95">
        <f t="shared" si="14"/>
        <v>882.44</v>
      </c>
      <c r="H86" s="95">
        <f t="shared" si="14"/>
        <v>961.54</v>
      </c>
      <c r="I86" s="95">
        <f t="shared" si="14"/>
        <v>1009.44</v>
      </c>
      <c r="J86" s="95">
        <f t="shared" si="14"/>
        <v>1102.1400000000001</v>
      </c>
      <c r="K86" s="95">
        <f t="shared" si="14"/>
        <v>1185.44</v>
      </c>
      <c r="L86" s="95">
        <f t="shared" si="14"/>
        <v>1395.74</v>
      </c>
      <c r="M86" s="95">
        <f t="shared" si="14"/>
        <v>1458.94</v>
      </c>
      <c r="N86" s="95">
        <f t="shared" si="14"/>
        <v>1455.24</v>
      </c>
      <c r="O86" s="95">
        <f t="shared" si="14"/>
        <v>1439.04</v>
      </c>
      <c r="P86" s="95">
        <f t="shared" si="14"/>
        <v>1382.1399999999999</v>
      </c>
      <c r="Q86" s="95">
        <f t="shared" si="14"/>
        <v>1312.94</v>
      </c>
      <c r="R86" s="95">
        <f t="shared" si="14"/>
        <v>1219.8399999999999</v>
      </c>
      <c r="S86" s="95">
        <f t="shared" si="14"/>
        <v>1203.24</v>
      </c>
      <c r="T86" s="95">
        <f t="shared" si="14"/>
        <v>1200.8399999999999</v>
      </c>
      <c r="U86" s="95">
        <f t="shared" si="14"/>
        <v>1269.54</v>
      </c>
      <c r="V86" s="95">
        <f t="shared" si="14"/>
        <v>1231.54</v>
      </c>
      <c r="W86" s="95">
        <f t="shared" si="14"/>
        <v>1205.54</v>
      </c>
      <c r="X86" s="95">
        <f t="shared" si="14"/>
        <v>1236.54</v>
      </c>
      <c r="Y86" s="95">
        <f t="shared" si="14"/>
        <v>1355.54</v>
      </c>
      <c r="Z86" s="95">
        <f t="shared" si="14"/>
        <v>1472.2399999999998</v>
      </c>
      <c r="AA86" s="95">
        <f t="shared" si="14"/>
        <v>1390.84</v>
      </c>
      <c r="AB86" s="95">
        <f t="shared" si="14"/>
        <v>1308.1399999999999</v>
      </c>
      <c r="AC86" s="95">
        <f t="shared" si="14"/>
        <v>1219.3399999999999</v>
      </c>
      <c r="AD86" s="95">
        <f t="shared" si="14"/>
        <v>1124.04</v>
      </c>
      <c r="AE86" s="95">
        <f t="shared" si="14"/>
        <v>1059.6399999999999</v>
      </c>
      <c r="AF86" s="95">
        <f t="shared" si="14"/>
        <v>976.24</v>
      </c>
      <c r="AG86" s="88"/>
      <c r="AH86" s="47">
        <f t="shared" si="9"/>
        <v>1472.2399999999998</v>
      </c>
      <c r="AI86" s="48">
        <f t="shared" si="10"/>
        <v>852.54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9"/>
        <v>0</v>
      </c>
      <c r="AI87" s="48">
        <f t="shared" si="10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9"/>
        <v>0</v>
      </c>
      <c r="AI88" s="48">
        <f t="shared" si="10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9"/>
        <v>0</v>
      </c>
      <c r="AI89" s="48">
        <f t="shared" si="10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9"/>
        <v>0</v>
      </c>
      <c r="AI90" s="48">
        <f t="shared" si="10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9"/>
        <v>0</v>
      </c>
      <c r="AI91" s="48">
        <f t="shared" si="10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9"/>
        <v>0</v>
      </c>
      <c r="AI92" s="48">
        <f t="shared" si="10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9"/>
        <v>0</v>
      </c>
      <c r="AI93" s="48">
        <f t="shared" si="10"/>
        <v>0</v>
      </c>
      <c r="AK93" s="49"/>
    </row>
    <row r="94" spans="1:37" ht="15.75" thickBot="1" x14ac:dyDescent="0.3">
      <c r="A94" s="74" t="s">
        <v>102</v>
      </c>
      <c r="B94" s="60">
        <v>389.5</v>
      </c>
      <c r="C94" s="60">
        <f t="shared" ref="C94:AF94" si="15">C78-C93</f>
        <v>341.2</v>
      </c>
      <c r="D94" s="60">
        <f t="shared" si="15"/>
        <v>364.8</v>
      </c>
      <c r="E94" s="60">
        <f t="shared" si="15"/>
        <v>388.09999999999997</v>
      </c>
      <c r="F94" s="60">
        <f t="shared" si="15"/>
        <v>357.6</v>
      </c>
      <c r="G94" s="60">
        <f t="shared" si="15"/>
        <v>362.7</v>
      </c>
      <c r="H94" s="60">
        <f t="shared" si="15"/>
        <v>398.7</v>
      </c>
      <c r="I94" s="60">
        <f t="shared" si="15"/>
        <v>406.3</v>
      </c>
      <c r="J94" s="60">
        <f t="shared" si="15"/>
        <v>438.2</v>
      </c>
      <c r="K94" s="60">
        <f t="shared" si="15"/>
        <v>404.1</v>
      </c>
      <c r="L94" s="60">
        <f t="shared" si="15"/>
        <v>340.3</v>
      </c>
      <c r="M94" s="60">
        <f t="shared" si="15"/>
        <v>395</v>
      </c>
      <c r="N94" s="60">
        <f t="shared" si="15"/>
        <v>484.09999999999997</v>
      </c>
      <c r="O94" s="60">
        <f t="shared" si="15"/>
        <v>509.5</v>
      </c>
      <c r="P94" s="60">
        <f t="shared" si="15"/>
        <v>501.9</v>
      </c>
      <c r="Q94" s="60">
        <f t="shared" si="15"/>
        <v>463.2</v>
      </c>
      <c r="R94" s="60">
        <f t="shared" si="15"/>
        <v>469.40000000000003</v>
      </c>
      <c r="S94" s="60">
        <f t="shared" si="15"/>
        <v>445.3</v>
      </c>
      <c r="T94" s="60">
        <f t="shared" si="15"/>
        <v>482.3</v>
      </c>
      <c r="U94" s="60">
        <f t="shared" si="15"/>
        <v>493</v>
      </c>
      <c r="V94" s="60">
        <f t="shared" si="15"/>
        <v>481</v>
      </c>
      <c r="W94" s="60">
        <f t="shared" si="15"/>
        <v>463</v>
      </c>
      <c r="X94" s="60">
        <f t="shared" si="15"/>
        <v>475</v>
      </c>
      <c r="Y94" s="60">
        <f t="shared" si="15"/>
        <v>476</v>
      </c>
      <c r="Z94" s="60">
        <f t="shared" si="15"/>
        <v>456</v>
      </c>
      <c r="AA94" s="60">
        <f t="shared" si="15"/>
        <v>461</v>
      </c>
      <c r="AB94" s="60">
        <f t="shared" si="15"/>
        <v>409.5</v>
      </c>
      <c r="AC94" s="60">
        <f t="shared" si="15"/>
        <v>409.2</v>
      </c>
      <c r="AD94" s="60">
        <f t="shared" si="15"/>
        <v>413</v>
      </c>
      <c r="AE94" s="60">
        <f t="shared" si="15"/>
        <v>469.5</v>
      </c>
      <c r="AF94" s="60">
        <f t="shared" si="15"/>
        <v>455.8</v>
      </c>
      <c r="AG94" s="88"/>
      <c r="AH94" s="47">
        <f t="shared" si="9"/>
        <v>509.5</v>
      </c>
      <c r="AI94" s="48">
        <f t="shared" si="10"/>
        <v>340.3</v>
      </c>
    </row>
    <row r="95" spans="1:37" x14ac:dyDescent="0.25">
      <c r="A95" s="100" t="s">
        <v>103</v>
      </c>
      <c r="B95" s="101">
        <v>49.99</v>
      </c>
      <c r="C95" s="101">
        <v>50.05</v>
      </c>
      <c r="D95" s="101">
        <v>49.89</v>
      </c>
      <c r="E95" s="101">
        <v>50.023000000000003</v>
      </c>
      <c r="F95" s="101">
        <v>49.984999999999999</v>
      </c>
      <c r="G95" s="101">
        <v>49.945</v>
      </c>
      <c r="H95" s="101">
        <v>50.121000000000002</v>
      </c>
      <c r="I95" s="101">
        <v>50.042999999999999</v>
      </c>
      <c r="J95" s="101">
        <v>50</v>
      </c>
      <c r="K95" s="101">
        <v>49.9</v>
      </c>
      <c r="L95" s="101">
        <v>50.057000000000002</v>
      </c>
      <c r="M95" s="101">
        <v>50.078000000000003</v>
      </c>
      <c r="N95" s="101">
        <v>50.073</v>
      </c>
      <c r="O95" s="101">
        <v>49.981000000000002</v>
      </c>
      <c r="P95" s="101">
        <v>49.981000000000002</v>
      </c>
      <c r="Q95" s="101">
        <v>50.012</v>
      </c>
      <c r="R95" s="101">
        <v>49.91</v>
      </c>
      <c r="S95" s="101">
        <v>50.113</v>
      </c>
      <c r="T95" s="101">
        <v>50.026000000000003</v>
      </c>
      <c r="U95" s="101">
        <v>50</v>
      </c>
      <c r="V95" s="101">
        <v>49.988</v>
      </c>
      <c r="W95" s="101">
        <v>50.103999999999999</v>
      </c>
      <c r="X95" s="101">
        <v>49.884</v>
      </c>
      <c r="Y95" s="101">
        <v>49.991</v>
      </c>
      <c r="Z95" s="101">
        <v>50.030999999999999</v>
      </c>
      <c r="AA95" s="101">
        <v>49.9</v>
      </c>
      <c r="AB95" s="101">
        <v>49.978999999999999</v>
      </c>
      <c r="AC95" s="101">
        <v>50</v>
      </c>
      <c r="AD95" s="101">
        <v>49.923000000000002</v>
      </c>
      <c r="AE95" s="101">
        <v>50.2</v>
      </c>
      <c r="AF95" s="101">
        <v>50.08</v>
      </c>
      <c r="AG95" s="102"/>
      <c r="AH95" s="47">
        <f t="shared" si="9"/>
        <v>50.2</v>
      </c>
      <c r="AI95" s="48">
        <f t="shared" si="10"/>
        <v>49.884</v>
      </c>
    </row>
    <row r="96" spans="1:37" x14ac:dyDescent="0.25">
      <c r="A96" s="103" t="s">
        <v>104</v>
      </c>
      <c r="B96" s="65">
        <v>129.4</v>
      </c>
      <c r="C96" s="65">
        <v>129.30000000000001</v>
      </c>
      <c r="D96" s="65">
        <v>129.30000000000001</v>
      </c>
      <c r="E96" s="65">
        <v>129.30000000000001</v>
      </c>
      <c r="F96" s="65">
        <v>129.30000000000001</v>
      </c>
      <c r="G96" s="65">
        <v>129.30000000000001</v>
      </c>
      <c r="H96" s="65">
        <v>128</v>
      </c>
      <c r="I96" s="65">
        <v>128</v>
      </c>
      <c r="J96" s="65">
        <v>128</v>
      </c>
      <c r="K96" s="65">
        <v>128</v>
      </c>
      <c r="L96" s="65">
        <v>127</v>
      </c>
      <c r="M96" s="65">
        <v>124.7</v>
      </c>
      <c r="N96" s="65">
        <v>124.8</v>
      </c>
      <c r="O96" s="65">
        <v>125.2</v>
      </c>
      <c r="P96" s="65">
        <v>125.2</v>
      </c>
      <c r="Q96" s="65">
        <v>126.1</v>
      </c>
      <c r="R96" s="65">
        <v>126.1</v>
      </c>
      <c r="S96" s="65">
        <v>127.3</v>
      </c>
      <c r="T96" s="65">
        <v>124.9</v>
      </c>
      <c r="U96" s="65">
        <v>126</v>
      </c>
      <c r="V96" s="65">
        <v>127.2</v>
      </c>
      <c r="W96" s="65">
        <v>127.3</v>
      </c>
      <c r="X96" s="65">
        <v>127.3</v>
      </c>
      <c r="Y96" s="65">
        <v>128.30000000000001</v>
      </c>
      <c r="Z96" s="65">
        <v>129.69999999999999</v>
      </c>
      <c r="AA96" s="65">
        <v>130</v>
      </c>
      <c r="AB96" s="65">
        <v>129.9</v>
      </c>
      <c r="AC96" s="65">
        <v>129.4</v>
      </c>
      <c r="AD96" s="65">
        <v>129.4</v>
      </c>
      <c r="AE96" s="65">
        <v>129.19999999999999</v>
      </c>
      <c r="AF96" s="65">
        <v>130.19999999999999</v>
      </c>
      <c r="AG96" s="104"/>
      <c r="AH96" s="47">
        <f t="shared" si="9"/>
        <v>130.19999999999999</v>
      </c>
      <c r="AI96" s="48">
        <f t="shared" si="10"/>
        <v>124.7</v>
      </c>
    </row>
    <row r="97" spans="1:35" x14ac:dyDescent="0.25">
      <c r="A97" s="103" t="s">
        <v>105</v>
      </c>
      <c r="B97" s="65">
        <v>132.80000000000001</v>
      </c>
      <c r="C97" s="65">
        <v>133.19999999999999</v>
      </c>
      <c r="D97" s="65">
        <v>133.19999999999999</v>
      </c>
      <c r="E97" s="65">
        <v>133.19999999999999</v>
      </c>
      <c r="F97" s="65">
        <v>133.19999999999999</v>
      </c>
      <c r="G97" s="65">
        <v>133.19999999999999</v>
      </c>
      <c r="H97" s="65">
        <v>131.5</v>
      </c>
      <c r="I97" s="65">
        <v>131.5</v>
      </c>
      <c r="J97" s="65">
        <v>131.5</v>
      </c>
      <c r="K97" s="65">
        <v>131.5</v>
      </c>
      <c r="L97" s="65">
        <v>129.6</v>
      </c>
      <c r="M97" s="65">
        <v>126.9</v>
      </c>
      <c r="N97" s="65">
        <v>127.3</v>
      </c>
      <c r="O97" s="65">
        <v>127.5</v>
      </c>
      <c r="P97" s="65">
        <v>127.5</v>
      </c>
      <c r="Q97" s="65">
        <v>128.9</v>
      </c>
      <c r="R97" s="65">
        <v>129</v>
      </c>
      <c r="S97" s="65">
        <v>130</v>
      </c>
      <c r="T97" s="65">
        <v>128</v>
      </c>
      <c r="U97" s="65">
        <v>129</v>
      </c>
      <c r="V97" s="65">
        <v>129.5</v>
      </c>
      <c r="W97" s="65">
        <v>129.6</v>
      </c>
      <c r="X97" s="65">
        <v>129.19999999999999</v>
      </c>
      <c r="Y97" s="65">
        <v>130.1</v>
      </c>
      <c r="Z97" s="65">
        <v>131.5</v>
      </c>
      <c r="AA97" s="65">
        <v>132</v>
      </c>
      <c r="AB97" s="65">
        <v>132.19999999999999</v>
      </c>
      <c r="AC97" s="65">
        <v>132</v>
      </c>
      <c r="AD97" s="65">
        <v>132</v>
      </c>
      <c r="AE97" s="65">
        <v>131.69999999999999</v>
      </c>
      <c r="AF97" s="65">
        <v>132.69999999999999</v>
      </c>
      <c r="AG97" s="104"/>
      <c r="AH97" s="47">
        <f t="shared" si="9"/>
        <v>133.19999999999999</v>
      </c>
      <c r="AI97" s="48">
        <f t="shared" si="10"/>
        <v>126.9</v>
      </c>
    </row>
    <row r="98" spans="1:35" x14ac:dyDescent="0.25">
      <c r="A98" s="103" t="s">
        <v>106</v>
      </c>
      <c r="B98" s="65">
        <v>129.6</v>
      </c>
      <c r="C98" s="65">
        <v>130.4</v>
      </c>
      <c r="D98" s="65">
        <v>130.4</v>
      </c>
      <c r="E98" s="65">
        <v>131.19999999999999</v>
      </c>
      <c r="F98" s="65">
        <v>131.19999999999999</v>
      </c>
      <c r="G98" s="65">
        <v>131.19999999999999</v>
      </c>
      <c r="H98" s="65">
        <v>130.5</v>
      </c>
      <c r="I98" s="65">
        <v>130.5</v>
      </c>
      <c r="J98" s="65">
        <v>130.5</v>
      </c>
      <c r="K98" s="65">
        <v>130.5</v>
      </c>
      <c r="L98" s="65">
        <v>125</v>
      </c>
      <c r="M98" s="65">
        <v>127.5</v>
      </c>
      <c r="N98" s="65">
        <v>126.7</v>
      </c>
      <c r="O98" s="65">
        <v>126.3</v>
      </c>
      <c r="P98" s="65">
        <v>126.3</v>
      </c>
      <c r="Q98" s="65">
        <v>129.30000000000001</v>
      </c>
      <c r="R98" s="65">
        <v>128.30000000000001</v>
      </c>
      <c r="S98" s="65">
        <v>128.5</v>
      </c>
      <c r="T98" s="65">
        <v>128.1</v>
      </c>
      <c r="U98" s="65">
        <v>128</v>
      </c>
      <c r="V98" s="65">
        <v>130.19999999999999</v>
      </c>
      <c r="W98" s="65">
        <v>130.1</v>
      </c>
      <c r="X98" s="65">
        <v>128.6</v>
      </c>
      <c r="Y98" s="65">
        <v>129</v>
      </c>
      <c r="Z98" s="65">
        <v>130</v>
      </c>
      <c r="AA98" s="65">
        <v>131</v>
      </c>
      <c r="AB98" s="65">
        <v>132.19999999999999</v>
      </c>
      <c r="AC98" s="65">
        <v>132.19999999999999</v>
      </c>
      <c r="AD98" s="65">
        <v>132.19999999999999</v>
      </c>
      <c r="AE98" s="65">
        <v>133.80000000000001</v>
      </c>
      <c r="AF98" s="65">
        <v>131.5</v>
      </c>
      <c r="AG98" s="104"/>
      <c r="AH98" s="47">
        <f t="shared" si="9"/>
        <v>133.80000000000001</v>
      </c>
      <c r="AI98" s="48">
        <f t="shared" si="10"/>
        <v>125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9"/>
        <v>0</v>
      </c>
      <c r="AI99" s="48">
        <f t="shared" si="10"/>
        <v>0</v>
      </c>
    </row>
    <row r="100" spans="1:35" x14ac:dyDescent="0.25">
      <c r="A100" s="105" t="s">
        <v>108</v>
      </c>
      <c r="B100" s="106">
        <v>132.19999999999999</v>
      </c>
      <c r="C100" s="106">
        <v>131.9</v>
      </c>
      <c r="D100" s="106">
        <v>131.9</v>
      </c>
      <c r="E100" s="106">
        <v>132.5</v>
      </c>
      <c r="F100" s="106">
        <v>132.5</v>
      </c>
      <c r="G100" s="106">
        <v>132.5</v>
      </c>
      <c r="H100" s="106">
        <v>130.6</v>
      </c>
      <c r="I100" s="106">
        <v>130.6</v>
      </c>
      <c r="J100" s="106">
        <v>130.6</v>
      </c>
      <c r="K100" s="106">
        <v>130.6</v>
      </c>
      <c r="L100" s="106">
        <v>134</v>
      </c>
      <c r="M100" s="106">
        <v>131.4</v>
      </c>
      <c r="N100" s="106">
        <v>132.69999999999999</v>
      </c>
      <c r="O100" s="106">
        <v>133.1</v>
      </c>
      <c r="P100" s="106">
        <v>133.1</v>
      </c>
      <c r="Q100" s="106">
        <v>134.1</v>
      </c>
      <c r="R100" s="106">
        <v>133.1</v>
      </c>
      <c r="S100" s="106">
        <v>134.30000000000001</v>
      </c>
      <c r="T100" s="106">
        <v>130</v>
      </c>
      <c r="U100" s="106">
        <v>134</v>
      </c>
      <c r="V100" s="106">
        <v>136.19999999999999</v>
      </c>
      <c r="W100" s="106">
        <v>136.30000000000001</v>
      </c>
      <c r="X100" s="106">
        <v>137</v>
      </c>
      <c r="Y100" s="106">
        <v>133</v>
      </c>
      <c r="Z100" s="106">
        <v>137</v>
      </c>
      <c r="AA100" s="106">
        <v>137</v>
      </c>
      <c r="AB100" s="106">
        <v>132.80000000000001</v>
      </c>
      <c r="AC100" s="106">
        <v>133.6</v>
      </c>
      <c r="AD100" s="106">
        <v>133.6</v>
      </c>
      <c r="AE100" s="106">
        <v>135.5</v>
      </c>
      <c r="AF100" s="106">
        <v>130.6</v>
      </c>
      <c r="AG100" s="107"/>
      <c r="AH100" s="47">
        <f t="shared" si="9"/>
        <v>137</v>
      </c>
      <c r="AI100" s="48">
        <f t="shared" si="10"/>
        <v>130</v>
      </c>
    </row>
    <row r="101" spans="1:35" x14ac:dyDescent="0.25">
      <c r="A101" s="103" t="s">
        <v>109</v>
      </c>
      <c r="B101" s="65">
        <v>131.6</v>
      </c>
      <c r="C101" s="65">
        <v>132</v>
      </c>
      <c r="D101" s="65">
        <v>132</v>
      </c>
      <c r="E101" s="65">
        <v>132.5</v>
      </c>
      <c r="F101" s="65">
        <v>132.5</v>
      </c>
      <c r="G101" s="65">
        <v>132.5</v>
      </c>
      <c r="H101" s="65">
        <v>130.69999999999999</v>
      </c>
      <c r="I101" s="65">
        <v>130.69999999999999</v>
      </c>
      <c r="J101" s="65">
        <v>130.69999999999999</v>
      </c>
      <c r="K101" s="65">
        <v>130.69999999999999</v>
      </c>
      <c r="L101" s="65">
        <v>131.69999999999999</v>
      </c>
      <c r="M101" s="65">
        <v>128.80000000000001</v>
      </c>
      <c r="N101" s="65">
        <v>130.1</v>
      </c>
      <c r="O101" s="65">
        <v>130</v>
      </c>
      <c r="P101" s="65">
        <v>130</v>
      </c>
      <c r="Q101" s="65">
        <v>132.1</v>
      </c>
      <c r="R101" s="65">
        <v>130.4</v>
      </c>
      <c r="S101" s="65">
        <v>133.19999999999999</v>
      </c>
      <c r="T101" s="65">
        <v>129</v>
      </c>
      <c r="U101" s="65">
        <v>135.4</v>
      </c>
      <c r="V101" s="65">
        <v>136.9</v>
      </c>
      <c r="W101" s="65">
        <v>133</v>
      </c>
      <c r="X101" s="65">
        <v>133</v>
      </c>
      <c r="Y101" s="65">
        <v>130</v>
      </c>
      <c r="Z101" s="65">
        <v>135</v>
      </c>
      <c r="AA101" s="65">
        <v>135</v>
      </c>
      <c r="AB101" s="65">
        <v>133.1</v>
      </c>
      <c r="AC101" s="65">
        <v>134.5</v>
      </c>
      <c r="AD101" s="65">
        <v>134.5</v>
      </c>
      <c r="AE101" s="65">
        <v>134.19999999999999</v>
      </c>
      <c r="AF101" s="65">
        <v>129.6</v>
      </c>
      <c r="AG101" s="104"/>
      <c r="AH101" s="47">
        <f t="shared" si="9"/>
        <v>136.9</v>
      </c>
      <c r="AI101" s="48">
        <f t="shared" si="10"/>
        <v>128.80000000000001</v>
      </c>
    </row>
    <row r="102" spans="1:35" ht="15.75" thickBot="1" x14ac:dyDescent="0.3">
      <c r="A102" s="103" t="s">
        <v>110</v>
      </c>
      <c r="B102" s="92">
        <v>66.900000000000006</v>
      </c>
      <c r="C102" s="92">
        <v>67</v>
      </c>
      <c r="D102" s="92">
        <v>67</v>
      </c>
      <c r="E102" s="92">
        <v>66.8</v>
      </c>
      <c r="F102" s="92">
        <v>66.8</v>
      </c>
      <c r="G102" s="92">
        <v>66.8</v>
      </c>
      <c r="H102" s="92">
        <v>66</v>
      </c>
      <c r="I102" s="92">
        <v>66</v>
      </c>
      <c r="J102" s="92">
        <v>66</v>
      </c>
      <c r="K102" s="92">
        <v>66</v>
      </c>
      <c r="L102" s="92">
        <v>64.900000000000006</v>
      </c>
      <c r="M102" s="92">
        <v>63.6</v>
      </c>
      <c r="N102" s="92">
        <v>63.9</v>
      </c>
      <c r="O102" s="92">
        <v>64</v>
      </c>
      <c r="P102" s="92">
        <v>64</v>
      </c>
      <c r="Q102" s="92">
        <v>64.599999999999994</v>
      </c>
      <c r="R102" s="92">
        <v>64.599999999999994</v>
      </c>
      <c r="S102" s="92">
        <v>65.3</v>
      </c>
      <c r="T102" s="92">
        <v>64</v>
      </c>
      <c r="U102" s="92">
        <v>65</v>
      </c>
      <c r="V102" s="92">
        <v>65.2</v>
      </c>
      <c r="W102" s="92">
        <v>64.900000000000006</v>
      </c>
      <c r="X102" s="92">
        <v>65</v>
      </c>
      <c r="Y102" s="92">
        <v>65</v>
      </c>
      <c r="Z102" s="92">
        <v>66</v>
      </c>
      <c r="AA102" s="92">
        <v>66</v>
      </c>
      <c r="AB102" s="92">
        <v>66</v>
      </c>
      <c r="AC102" s="92">
        <v>66.099999999999994</v>
      </c>
      <c r="AD102" s="92">
        <v>66.099999999999994</v>
      </c>
      <c r="AE102" s="92">
        <v>66.2</v>
      </c>
      <c r="AF102" s="92">
        <v>66.599999999999994</v>
      </c>
      <c r="AG102" s="108"/>
      <c r="AH102" s="47">
        <f t="shared" si="9"/>
        <v>67</v>
      </c>
      <c r="AI102" s="48">
        <f t="shared" si="10"/>
        <v>63.6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9"/>
        <v>0</v>
      </c>
      <c r="AI103" s="48">
        <f t="shared" si="10"/>
        <v>0</v>
      </c>
    </row>
    <row r="104" spans="1:35" ht="15.75" thickBot="1" x14ac:dyDescent="0.3">
      <c r="A104" s="110" t="s">
        <v>112</v>
      </c>
      <c r="B104" s="111">
        <v>139.4</v>
      </c>
      <c r="C104" s="111">
        <f t="shared" ref="C104:AF104" si="16">SUM(C16,C22,C25:C26,C52,C54:C55,C57,C59,C105:C109,C131,C137,C143,C152,C154,C166,C173,C176:C177,C184,C186,C188,C192:C194,C196:C198,C203,C209:C210,C212:C214,C222,C227)</f>
        <v>102.44</v>
      </c>
      <c r="D104" s="111">
        <f t="shared" si="16"/>
        <v>99.04</v>
      </c>
      <c r="E104" s="111">
        <f t="shared" si="16"/>
        <v>100.04</v>
      </c>
      <c r="F104" s="111">
        <f t="shared" si="16"/>
        <v>109.64</v>
      </c>
      <c r="G104" s="111">
        <f t="shared" si="16"/>
        <v>114.44000000000001</v>
      </c>
      <c r="H104" s="111">
        <f t="shared" si="16"/>
        <v>142.34</v>
      </c>
      <c r="I104" s="111">
        <f t="shared" si="16"/>
        <v>167.14</v>
      </c>
      <c r="J104" s="111">
        <f t="shared" si="16"/>
        <v>214.34</v>
      </c>
      <c r="K104" s="111">
        <f t="shared" si="16"/>
        <v>253.24</v>
      </c>
      <c r="L104" s="111">
        <f t="shared" si="16"/>
        <v>292.44</v>
      </c>
      <c r="M104" s="111">
        <f t="shared" si="16"/>
        <v>315.44</v>
      </c>
      <c r="N104" s="111">
        <f t="shared" si="16"/>
        <v>305.74</v>
      </c>
      <c r="O104" s="111">
        <f t="shared" si="16"/>
        <v>287.53999999999996</v>
      </c>
      <c r="P104" s="111">
        <v>42</v>
      </c>
      <c r="Q104" s="111">
        <f t="shared" si="16"/>
        <v>248.8</v>
      </c>
      <c r="R104" s="111">
        <f t="shared" si="16"/>
        <v>237.20000000000002</v>
      </c>
      <c r="S104" s="111">
        <f t="shared" si="16"/>
        <v>247.60000000000002</v>
      </c>
      <c r="T104" s="111">
        <f t="shared" si="16"/>
        <v>248.6</v>
      </c>
      <c r="U104" s="111">
        <f t="shared" si="16"/>
        <v>257.89999999999998</v>
      </c>
      <c r="V104" s="111">
        <f t="shared" si="16"/>
        <v>267.89999999999998</v>
      </c>
      <c r="W104" s="111">
        <f t="shared" si="16"/>
        <v>271.8</v>
      </c>
      <c r="X104" s="111">
        <f t="shared" si="16"/>
        <v>304.89999999999998</v>
      </c>
      <c r="Y104" s="111">
        <f t="shared" si="16"/>
        <v>356.9</v>
      </c>
      <c r="Z104" s="111">
        <f t="shared" si="16"/>
        <v>350.9</v>
      </c>
      <c r="AA104" s="111">
        <f t="shared" si="16"/>
        <v>332.9</v>
      </c>
      <c r="AB104" s="111">
        <f t="shared" si="16"/>
        <v>295.5</v>
      </c>
      <c r="AC104" s="111">
        <f t="shared" si="16"/>
        <v>273.8</v>
      </c>
      <c r="AD104" s="111">
        <f t="shared" si="16"/>
        <v>242.4</v>
      </c>
      <c r="AE104" s="111">
        <f t="shared" si="16"/>
        <v>178.20000000000002</v>
      </c>
      <c r="AF104" s="111">
        <f t="shared" si="16"/>
        <v>141.9</v>
      </c>
      <c r="AG104" s="112"/>
      <c r="AH104" s="47">
        <f t="shared" si="9"/>
        <v>356.9</v>
      </c>
      <c r="AI104" s="48">
        <f t="shared" si="10"/>
        <v>42</v>
      </c>
    </row>
    <row r="105" spans="1:35" x14ac:dyDescent="0.25">
      <c r="A105" s="100" t="s">
        <v>113</v>
      </c>
      <c r="B105" s="113">
        <v>-22.2</v>
      </c>
      <c r="C105" s="113">
        <v>-22.4</v>
      </c>
      <c r="D105" s="113">
        <v>-32.799999999999997</v>
      </c>
      <c r="E105" s="113">
        <v>-31</v>
      </c>
      <c r="F105" s="113">
        <v>-20.9</v>
      </c>
      <c r="G105" s="113">
        <v>-19.100000000000001</v>
      </c>
      <c r="H105" s="113">
        <v>-17.8</v>
      </c>
      <c r="I105" s="113">
        <v>-9.6</v>
      </c>
      <c r="J105" s="113">
        <v>10</v>
      </c>
      <c r="K105" s="113">
        <v>27.5</v>
      </c>
      <c r="L105" s="113">
        <v>25.9</v>
      </c>
      <c r="M105" s="113">
        <v>26.3</v>
      </c>
      <c r="N105" s="113">
        <v>22.3</v>
      </c>
      <c r="O105" s="113">
        <v>15.6</v>
      </c>
      <c r="P105" s="113">
        <v>13.2</v>
      </c>
      <c r="Q105" s="113">
        <v>14.6</v>
      </c>
      <c r="R105" s="113">
        <v>4.8</v>
      </c>
      <c r="S105" s="113">
        <v>12</v>
      </c>
      <c r="T105" s="113">
        <v>9.5</v>
      </c>
      <c r="U105" s="113">
        <v>10</v>
      </c>
      <c r="V105" s="113">
        <v>10</v>
      </c>
      <c r="W105" s="113">
        <v>9.6</v>
      </c>
      <c r="X105" s="113">
        <v>18</v>
      </c>
      <c r="Y105" s="113">
        <v>31</v>
      </c>
      <c r="Z105" s="113">
        <v>25</v>
      </c>
      <c r="AA105" s="113">
        <v>25</v>
      </c>
      <c r="AB105" s="113">
        <v>10</v>
      </c>
      <c r="AC105" s="113">
        <v>4.8</v>
      </c>
      <c r="AD105" s="113">
        <v>5.0999999999999996</v>
      </c>
      <c r="AE105" s="113">
        <v>-22.1</v>
      </c>
      <c r="AF105" s="113">
        <v>-28.2</v>
      </c>
      <c r="AG105" s="114">
        <v>75</v>
      </c>
      <c r="AH105" s="47">
        <f t="shared" si="9"/>
        <v>31</v>
      </c>
      <c r="AI105" s="48">
        <f t="shared" si="10"/>
        <v>-32.799999999999997</v>
      </c>
    </row>
    <row r="106" spans="1:35" x14ac:dyDescent="0.25">
      <c r="A106" s="103" t="s">
        <v>114</v>
      </c>
      <c r="B106" s="115">
        <v>-24.8</v>
      </c>
      <c r="C106" s="115">
        <v>-24.6</v>
      </c>
      <c r="D106" s="115">
        <v>-40.299999999999997</v>
      </c>
      <c r="E106" s="115">
        <v>-37.5</v>
      </c>
      <c r="F106" s="115">
        <v>-25.2</v>
      </c>
      <c r="G106" s="115">
        <v>-24.9</v>
      </c>
      <c r="H106" s="115">
        <v>-19.399999999999999</v>
      </c>
      <c r="I106" s="115">
        <v>-8.3000000000000007</v>
      </c>
      <c r="J106" s="115">
        <v>14</v>
      </c>
      <c r="K106" s="115">
        <v>38.6</v>
      </c>
      <c r="L106" s="115">
        <v>32</v>
      </c>
      <c r="M106" s="115">
        <v>32.299999999999997</v>
      </c>
      <c r="N106" s="115">
        <v>26.3</v>
      </c>
      <c r="O106" s="115">
        <v>20</v>
      </c>
      <c r="P106" s="115">
        <v>23.1</v>
      </c>
      <c r="Q106" s="115">
        <v>23</v>
      </c>
      <c r="R106" s="115">
        <v>9.1999999999999993</v>
      </c>
      <c r="S106" s="115">
        <v>20</v>
      </c>
      <c r="T106" s="115">
        <v>14</v>
      </c>
      <c r="U106" s="115">
        <v>16</v>
      </c>
      <c r="V106" s="115">
        <v>9</v>
      </c>
      <c r="W106" s="115">
        <v>5.3</v>
      </c>
      <c r="X106" s="115">
        <v>17</v>
      </c>
      <c r="Y106" s="115">
        <v>37</v>
      </c>
      <c r="Z106" s="115">
        <v>28</v>
      </c>
      <c r="AA106" s="115">
        <v>29</v>
      </c>
      <c r="AB106" s="115">
        <v>8.4</v>
      </c>
      <c r="AC106" s="115">
        <v>1.2</v>
      </c>
      <c r="AD106" s="115">
        <v>2.5</v>
      </c>
      <c r="AE106" s="115">
        <v>-30.7</v>
      </c>
      <c r="AF106" s="115">
        <v>-34.1</v>
      </c>
      <c r="AG106" s="114">
        <v>240</v>
      </c>
      <c r="AH106" s="47">
        <f t="shared" si="9"/>
        <v>38.6</v>
      </c>
      <c r="AI106" s="48">
        <f t="shared" si="10"/>
        <v>-40.299999999999997</v>
      </c>
    </row>
    <row r="107" spans="1:35" x14ac:dyDescent="0.25">
      <c r="A107" s="103" t="s">
        <v>115</v>
      </c>
      <c r="B107" s="115">
        <f>-11.6-12.4</f>
        <v>-24</v>
      </c>
      <c r="C107" s="115">
        <f>-11.1-12.7</f>
        <v>-23.799999999999997</v>
      </c>
      <c r="D107" s="115">
        <v>-19.5</v>
      </c>
      <c r="E107" s="115">
        <v>-21.6</v>
      </c>
      <c r="F107" s="115">
        <v>-26</v>
      </c>
      <c r="G107" s="115">
        <v>-25</v>
      </c>
      <c r="H107" s="115">
        <v>-20</v>
      </c>
      <c r="I107" s="115">
        <v>-11</v>
      </c>
      <c r="J107" s="115">
        <v>-8</v>
      </c>
      <c r="K107" s="115">
        <v>-4</v>
      </c>
      <c r="L107" s="115">
        <v>21</v>
      </c>
      <c r="M107" s="115">
        <v>28</v>
      </c>
      <c r="N107" s="115">
        <v>27.9</v>
      </c>
      <c r="O107" s="115">
        <v>25.2</v>
      </c>
      <c r="P107" s="115">
        <v>9</v>
      </c>
      <c r="Q107" s="115">
        <v>9</v>
      </c>
      <c r="R107" s="115">
        <v>13</v>
      </c>
      <c r="S107" s="115">
        <v>6</v>
      </c>
      <c r="T107" s="115">
        <v>13</v>
      </c>
      <c r="U107" s="115">
        <v>15</v>
      </c>
      <c r="V107" s="115">
        <v>32</v>
      </c>
      <c r="W107" s="115">
        <v>38</v>
      </c>
      <c r="X107" s="115">
        <v>47</v>
      </c>
      <c r="Y107" s="115">
        <v>45</v>
      </c>
      <c r="Z107" s="115">
        <v>55</v>
      </c>
      <c r="AA107" s="115">
        <v>45</v>
      </c>
      <c r="AB107" s="115">
        <v>53</v>
      </c>
      <c r="AC107" s="115">
        <v>52</v>
      </c>
      <c r="AD107" s="115">
        <v>45</v>
      </c>
      <c r="AE107" s="115">
        <v>21.7</v>
      </c>
      <c r="AF107" s="115">
        <v>4.8</v>
      </c>
      <c r="AG107" s="114">
        <v>240</v>
      </c>
      <c r="AH107" s="47">
        <f t="shared" si="9"/>
        <v>55</v>
      </c>
      <c r="AI107" s="48">
        <f t="shared" si="10"/>
        <v>-26</v>
      </c>
    </row>
    <row r="108" spans="1:35" x14ac:dyDescent="0.25">
      <c r="A108" s="103" t="s">
        <v>116</v>
      </c>
      <c r="B108" s="115">
        <v>-0.2</v>
      </c>
      <c r="C108" s="115">
        <v>-1.2</v>
      </c>
      <c r="D108" s="115">
        <v>-0.3</v>
      </c>
      <c r="E108" s="115">
        <v>1.3</v>
      </c>
      <c r="F108" s="115">
        <v>0</v>
      </c>
      <c r="G108" s="115">
        <v>1.6</v>
      </c>
      <c r="H108" s="115">
        <v>1.4</v>
      </c>
      <c r="I108" s="115">
        <v>3.3</v>
      </c>
      <c r="J108" s="115">
        <v>4</v>
      </c>
      <c r="K108" s="115">
        <v>9.1</v>
      </c>
      <c r="L108" s="115">
        <v>15.5</v>
      </c>
      <c r="M108" s="115">
        <v>18.100000000000001</v>
      </c>
      <c r="N108" s="115">
        <v>18.5</v>
      </c>
      <c r="O108" s="115">
        <v>18.7</v>
      </c>
      <c r="P108" s="115">
        <v>6.8</v>
      </c>
      <c r="Q108" s="115">
        <v>6.5</v>
      </c>
      <c r="R108" s="115">
        <v>7.9</v>
      </c>
      <c r="S108" s="115">
        <v>7.3</v>
      </c>
      <c r="T108" s="115">
        <v>3.2</v>
      </c>
      <c r="U108" s="115">
        <v>8</v>
      </c>
      <c r="V108" s="115">
        <v>8</v>
      </c>
      <c r="W108" s="115">
        <v>15</v>
      </c>
      <c r="X108" s="115">
        <v>16</v>
      </c>
      <c r="Y108" s="115">
        <v>38</v>
      </c>
      <c r="Z108" s="115">
        <v>41</v>
      </c>
      <c r="AA108" s="115">
        <v>22</v>
      </c>
      <c r="AB108" s="115">
        <v>18.7</v>
      </c>
      <c r="AC108" s="115">
        <v>18</v>
      </c>
      <c r="AD108" s="115">
        <v>10.3</v>
      </c>
      <c r="AE108" s="115">
        <v>4.5999999999999996</v>
      </c>
      <c r="AF108" s="115">
        <v>1.8</v>
      </c>
      <c r="AG108" s="114">
        <v>60</v>
      </c>
      <c r="AH108" s="47">
        <f t="shared" si="9"/>
        <v>41</v>
      </c>
      <c r="AI108" s="48">
        <f t="shared" si="10"/>
        <v>-1.2</v>
      </c>
    </row>
    <row r="109" spans="1:35" x14ac:dyDescent="0.25">
      <c r="A109" s="116" t="s">
        <v>117</v>
      </c>
      <c r="B109" s="117">
        <v>74.599999999999994</v>
      </c>
      <c r="C109" s="117">
        <v>76.099999999999994</v>
      </c>
      <c r="D109" s="117">
        <v>93.3</v>
      </c>
      <c r="E109" s="117">
        <v>90.5</v>
      </c>
      <c r="F109" s="117">
        <v>81.400000000000006</v>
      </c>
      <c r="G109" s="117">
        <v>81.5</v>
      </c>
      <c r="H109" s="117">
        <v>95.7</v>
      </c>
      <c r="I109" s="117">
        <v>92.6</v>
      </c>
      <c r="J109" s="117">
        <v>94</v>
      </c>
      <c r="K109" s="117">
        <v>81.7</v>
      </c>
      <c r="L109" s="117">
        <v>97.7</v>
      </c>
      <c r="M109" s="117">
        <v>110.6</v>
      </c>
      <c r="N109" s="117">
        <v>110.5</v>
      </c>
      <c r="O109" s="117">
        <v>107.8</v>
      </c>
      <c r="P109" s="117">
        <v>96.8</v>
      </c>
      <c r="Q109" s="117">
        <v>97.2</v>
      </c>
      <c r="R109" s="117">
        <v>103</v>
      </c>
      <c r="S109" s="117">
        <v>95</v>
      </c>
      <c r="T109" s="117">
        <v>112</v>
      </c>
      <c r="U109" s="117">
        <v>112</v>
      </c>
      <c r="V109" s="117">
        <v>112</v>
      </c>
      <c r="W109" s="117">
        <v>115</v>
      </c>
      <c r="X109" s="117">
        <v>118</v>
      </c>
      <c r="Y109" s="117">
        <v>117</v>
      </c>
      <c r="Z109" s="117">
        <v>113</v>
      </c>
      <c r="AA109" s="117">
        <v>122</v>
      </c>
      <c r="AB109" s="117">
        <v>115.5</v>
      </c>
      <c r="AC109" s="117">
        <v>107.9</v>
      </c>
      <c r="AD109" s="117">
        <v>90</v>
      </c>
      <c r="AE109" s="117">
        <v>103.4</v>
      </c>
      <c r="AF109" s="117">
        <v>95.2</v>
      </c>
      <c r="AG109" s="118">
        <v>120</v>
      </c>
      <c r="AH109" s="47">
        <f t="shared" si="9"/>
        <v>122</v>
      </c>
      <c r="AI109" s="48">
        <f t="shared" si="10"/>
        <v>74.599999999999994</v>
      </c>
    </row>
    <row r="110" spans="1:35" x14ac:dyDescent="0.25">
      <c r="A110" s="116" t="s">
        <v>118</v>
      </c>
      <c r="B110" s="117">
        <v>77.099999999999994</v>
      </c>
      <c r="C110" s="117">
        <v>79.2</v>
      </c>
      <c r="D110" s="117">
        <v>98.7</v>
      </c>
      <c r="E110" s="117">
        <v>98.4</v>
      </c>
      <c r="F110" s="117">
        <v>87.8</v>
      </c>
      <c r="G110" s="117">
        <v>87.1</v>
      </c>
      <c r="H110" s="117">
        <v>99.4</v>
      </c>
      <c r="I110" s="117">
        <v>101</v>
      </c>
      <c r="J110" s="117">
        <v>95</v>
      </c>
      <c r="K110" s="117">
        <v>75.099999999999994</v>
      </c>
      <c r="L110" s="117">
        <v>69.3</v>
      </c>
      <c r="M110" s="117">
        <v>79.599999999999994</v>
      </c>
      <c r="N110" s="117">
        <v>83.5</v>
      </c>
      <c r="O110" s="117">
        <v>85</v>
      </c>
      <c r="P110" s="117">
        <v>75</v>
      </c>
      <c r="Q110" s="117">
        <v>72.400000000000006</v>
      </c>
      <c r="R110" s="117">
        <v>78.7</v>
      </c>
      <c r="S110" s="117">
        <v>72</v>
      </c>
      <c r="T110" s="117">
        <v>83</v>
      </c>
      <c r="U110" s="117">
        <v>82</v>
      </c>
      <c r="V110" s="117">
        <v>91</v>
      </c>
      <c r="W110" s="117">
        <v>93</v>
      </c>
      <c r="X110" s="117">
        <v>87</v>
      </c>
      <c r="Y110" s="117">
        <v>75</v>
      </c>
      <c r="Z110" s="117">
        <v>76</v>
      </c>
      <c r="AA110" s="117">
        <v>81</v>
      </c>
      <c r="AB110" s="117">
        <v>96.3</v>
      </c>
      <c r="AC110" s="117">
        <v>98.9</v>
      </c>
      <c r="AD110" s="117">
        <v>93.5</v>
      </c>
      <c r="AE110" s="117">
        <v>91.8</v>
      </c>
      <c r="AF110" s="117">
        <v>89.7</v>
      </c>
      <c r="AG110" s="118"/>
      <c r="AH110" s="47">
        <f t="shared" si="9"/>
        <v>101</v>
      </c>
      <c r="AI110" s="48">
        <f t="shared" si="10"/>
        <v>69.3</v>
      </c>
    </row>
    <row r="111" spans="1:35" x14ac:dyDescent="0.25">
      <c r="A111" s="116" t="s">
        <v>119</v>
      </c>
      <c r="B111" s="117">
        <v>48.2</v>
      </c>
      <c r="C111" s="117">
        <v>50.6</v>
      </c>
      <c r="D111" s="117">
        <v>53</v>
      </c>
      <c r="E111" s="117">
        <v>54.4</v>
      </c>
      <c r="F111" s="117">
        <v>56.1</v>
      </c>
      <c r="G111" s="117">
        <v>57.9</v>
      </c>
      <c r="H111" s="117">
        <v>51</v>
      </c>
      <c r="I111" s="117">
        <v>44.9</v>
      </c>
      <c r="J111" s="117">
        <v>32</v>
      </c>
      <c r="K111" s="117">
        <v>16.2</v>
      </c>
      <c r="L111" s="117">
        <v>18.7</v>
      </c>
      <c r="M111" s="117">
        <v>18.7</v>
      </c>
      <c r="N111" s="117">
        <v>27.4</v>
      </c>
      <c r="O111" s="117">
        <v>37.1</v>
      </c>
      <c r="P111" s="117">
        <v>28.1</v>
      </c>
      <c r="Q111" s="117">
        <v>27.3</v>
      </c>
      <c r="R111" s="117">
        <v>31.3</v>
      </c>
      <c r="S111" s="117">
        <v>35</v>
      </c>
      <c r="T111" s="117">
        <v>42</v>
      </c>
      <c r="U111" s="117">
        <v>48.2</v>
      </c>
      <c r="V111" s="117">
        <v>33</v>
      </c>
      <c r="W111" s="117">
        <v>32</v>
      </c>
      <c r="X111" s="117">
        <v>25</v>
      </c>
      <c r="Y111" s="117">
        <v>21</v>
      </c>
      <c r="Z111" s="117">
        <v>18</v>
      </c>
      <c r="AA111" s="117">
        <v>19</v>
      </c>
      <c r="AB111" s="117">
        <v>39</v>
      </c>
      <c r="AC111" s="117">
        <v>43.3</v>
      </c>
      <c r="AD111" s="117">
        <v>46.1</v>
      </c>
      <c r="AE111" s="117">
        <v>51.2</v>
      </c>
      <c r="AF111" s="117">
        <v>53.4</v>
      </c>
      <c r="AG111" s="119"/>
      <c r="AH111" s="47">
        <f t="shared" si="9"/>
        <v>57.9</v>
      </c>
      <c r="AI111" s="48">
        <f t="shared" si="10"/>
        <v>16.2</v>
      </c>
    </row>
    <row r="112" spans="1:35" x14ac:dyDescent="0.25">
      <c r="A112" s="120" t="s">
        <v>120</v>
      </c>
      <c r="B112" s="106">
        <v>-6.5</v>
      </c>
      <c r="C112" s="106">
        <v>-6.5</v>
      </c>
      <c r="D112" s="106">
        <v>7.4</v>
      </c>
      <c r="E112" s="106">
        <v>6.7</v>
      </c>
      <c r="F112" s="106">
        <v>5.5</v>
      </c>
      <c r="G112" s="106">
        <v>6.8</v>
      </c>
      <c r="H112" s="106">
        <v>-2.4</v>
      </c>
      <c r="I112" s="106">
        <v>-7.5</v>
      </c>
      <c r="J112" s="106">
        <v>-22</v>
      </c>
      <c r="K112" s="106">
        <v>-33.4</v>
      </c>
      <c r="L112" s="106">
        <v>-38.299999999999997</v>
      </c>
      <c r="M112" s="106">
        <v>-59.6</v>
      </c>
      <c r="N112" s="106">
        <v>-60</v>
      </c>
      <c r="O112" s="106">
        <v>-39.9</v>
      </c>
      <c r="P112" s="106">
        <v>-26.1</v>
      </c>
      <c r="Q112" s="106">
        <v>-20.5</v>
      </c>
      <c r="R112" s="106">
        <v>-15.6</v>
      </c>
      <c r="S112" s="106">
        <v>-24</v>
      </c>
      <c r="T112" s="106">
        <v>-25</v>
      </c>
      <c r="U112" s="106">
        <v>-32</v>
      </c>
      <c r="V112" s="106">
        <v>-39</v>
      </c>
      <c r="W112" s="106">
        <v>-46</v>
      </c>
      <c r="X112" s="106">
        <v>-60</v>
      </c>
      <c r="Y112" s="106">
        <v>-56</v>
      </c>
      <c r="Z112" s="106">
        <v>-56</v>
      </c>
      <c r="AA112" s="106">
        <v>-44</v>
      </c>
      <c r="AB112" s="106">
        <v>-24.8</v>
      </c>
      <c r="AC112" s="106">
        <v>-21.2</v>
      </c>
      <c r="AD112" s="106">
        <v>-9.9</v>
      </c>
      <c r="AE112" s="106">
        <v>-1.1000000000000001</v>
      </c>
      <c r="AF112" s="106">
        <v>-0.9</v>
      </c>
      <c r="AG112" s="119"/>
      <c r="AH112" s="47">
        <f t="shared" si="9"/>
        <v>7.4</v>
      </c>
      <c r="AI112" s="48">
        <f t="shared" si="10"/>
        <v>-60</v>
      </c>
    </row>
    <row r="113" spans="1:37" ht="15.75" thickBot="1" x14ac:dyDescent="0.3">
      <c r="A113" s="120" t="s">
        <v>121</v>
      </c>
      <c r="B113" s="106">
        <v>46.9</v>
      </c>
      <c r="C113" s="106">
        <v>46.5</v>
      </c>
      <c r="D113" s="106">
        <v>47.2</v>
      </c>
      <c r="E113" s="106">
        <v>42.9</v>
      </c>
      <c r="F113" s="106">
        <v>41.8</v>
      </c>
      <c r="G113" s="106">
        <v>43.5</v>
      </c>
      <c r="H113" s="106">
        <v>45</v>
      </c>
      <c r="I113" s="106">
        <v>47.4</v>
      </c>
      <c r="J113" s="106">
        <v>52.8</v>
      </c>
      <c r="K113" s="106">
        <v>60.2</v>
      </c>
      <c r="L113" s="106">
        <v>75.400000000000006</v>
      </c>
      <c r="M113" s="106">
        <v>90.9</v>
      </c>
      <c r="N113" s="106">
        <v>99.1</v>
      </c>
      <c r="O113" s="106">
        <v>85.5</v>
      </c>
      <c r="P113" s="106">
        <v>76.099999999999994</v>
      </c>
      <c r="Q113" s="106">
        <v>74</v>
      </c>
      <c r="R113" s="106">
        <v>71.5</v>
      </c>
      <c r="S113" s="106">
        <v>79</v>
      </c>
      <c r="T113" s="106">
        <v>70</v>
      </c>
      <c r="U113" s="106">
        <v>72</v>
      </c>
      <c r="V113" s="106">
        <v>76</v>
      </c>
      <c r="W113" s="106">
        <v>68</v>
      </c>
      <c r="X113" s="106">
        <v>88</v>
      </c>
      <c r="Y113" s="106">
        <v>75</v>
      </c>
      <c r="Z113" s="106">
        <v>74</v>
      </c>
      <c r="AA113" s="106">
        <v>67</v>
      </c>
      <c r="AB113" s="106">
        <v>60.7</v>
      </c>
      <c r="AC113" s="106">
        <v>62.2</v>
      </c>
      <c r="AD113" s="106">
        <v>63.5</v>
      </c>
      <c r="AE113" s="106">
        <v>55.7</v>
      </c>
      <c r="AF113" s="106">
        <v>53.1</v>
      </c>
      <c r="AG113" s="119"/>
      <c r="AH113" s="47">
        <f t="shared" si="9"/>
        <v>99.1</v>
      </c>
      <c r="AI113" s="48">
        <f t="shared" si="10"/>
        <v>41.8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7">SUM(B115:B219)</f>
        <v>0</v>
      </c>
      <c r="C220" s="136">
        <f t="shared" si="17"/>
        <v>0</v>
      </c>
      <c r="D220" s="136">
        <f t="shared" si="17"/>
        <v>0</v>
      </c>
      <c r="E220" s="136">
        <f t="shared" si="17"/>
        <v>0</v>
      </c>
      <c r="F220" s="136">
        <f t="shared" si="17"/>
        <v>0</v>
      </c>
      <c r="G220" s="136">
        <f t="shared" si="17"/>
        <v>0</v>
      </c>
      <c r="H220" s="136">
        <f t="shared" si="17"/>
        <v>0</v>
      </c>
      <c r="I220" s="136">
        <f t="shared" si="17"/>
        <v>0</v>
      </c>
      <c r="J220" s="136">
        <f t="shared" si="17"/>
        <v>0</v>
      </c>
      <c r="K220" s="136">
        <f t="shared" si="17"/>
        <v>0</v>
      </c>
      <c r="L220" s="136">
        <f t="shared" si="17"/>
        <v>0</v>
      </c>
      <c r="M220" s="136">
        <f t="shared" si="17"/>
        <v>0</v>
      </c>
      <c r="N220" s="136">
        <f t="shared" si="17"/>
        <v>0</v>
      </c>
      <c r="O220" s="136">
        <f t="shared" si="17"/>
        <v>0</v>
      </c>
      <c r="P220" s="136">
        <f t="shared" si="17"/>
        <v>0</v>
      </c>
      <c r="Q220" s="136">
        <f t="shared" si="17"/>
        <v>0</v>
      </c>
      <c r="R220" s="136">
        <f t="shared" si="17"/>
        <v>0</v>
      </c>
      <c r="S220" s="136">
        <f t="shared" si="17"/>
        <v>0</v>
      </c>
      <c r="T220" s="136">
        <f t="shared" si="17"/>
        <v>0</v>
      </c>
      <c r="U220" s="136">
        <f t="shared" si="17"/>
        <v>0</v>
      </c>
      <c r="V220" s="136">
        <f t="shared" si="17"/>
        <v>0</v>
      </c>
      <c r="W220" s="136">
        <f t="shared" si="17"/>
        <v>0</v>
      </c>
      <c r="X220" s="136">
        <f t="shared" si="17"/>
        <v>0</v>
      </c>
      <c r="Y220" s="136">
        <f t="shared" si="17"/>
        <v>0</v>
      </c>
      <c r="Z220" s="136">
        <f t="shared" si="17"/>
        <v>0</v>
      </c>
      <c r="AA220" s="136">
        <f t="shared" si="17"/>
        <v>0</v>
      </c>
      <c r="AB220" s="136">
        <f t="shared" si="17"/>
        <v>0</v>
      </c>
      <c r="AC220" s="136">
        <f t="shared" si="17"/>
        <v>0</v>
      </c>
      <c r="AD220" s="136">
        <f t="shared" si="17"/>
        <v>0</v>
      </c>
      <c r="AE220" s="136">
        <f t="shared" si="17"/>
        <v>0</v>
      </c>
      <c r="AF220" s="137">
        <f t="shared" si="17"/>
        <v>0</v>
      </c>
      <c r="AG220" s="138">
        <f t="shared" si="1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8">AF222</f>
        <v>0</v>
      </c>
      <c r="C222" s="140">
        <v>0.3</v>
      </c>
      <c r="D222" s="140">
        <f t="shared" ref="D222:P227" si="19">C222</f>
        <v>0.3</v>
      </c>
      <c r="E222" s="140">
        <f t="shared" si="19"/>
        <v>0.3</v>
      </c>
      <c r="F222" s="140">
        <f t="shared" si="19"/>
        <v>0.3</v>
      </c>
      <c r="G222" s="140">
        <f t="shared" si="19"/>
        <v>0.3</v>
      </c>
      <c r="H222" s="140">
        <f t="shared" si="19"/>
        <v>0.3</v>
      </c>
      <c r="I222" s="140">
        <f t="shared" si="19"/>
        <v>0.3</v>
      </c>
      <c r="J222" s="140">
        <f t="shared" si="19"/>
        <v>0.3</v>
      </c>
      <c r="K222" s="140">
        <f t="shared" si="19"/>
        <v>0.3</v>
      </c>
      <c r="L222" s="140">
        <f t="shared" si="19"/>
        <v>0.3</v>
      </c>
      <c r="M222" s="140">
        <f t="shared" si="19"/>
        <v>0.3</v>
      </c>
      <c r="N222" s="140">
        <f t="shared" si="19"/>
        <v>0.3</v>
      </c>
      <c r="O222" s="140">
        <f t="shared" si="19"/>
        <v>0.3</v>
      </c>
      <c r="P222" s="140">
        <f t="shared" si="1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8"/>
        <v>0</v>
      </c>
      <c r="C223" s="128">
        <v>0.4</v>
      </c>
      <c r="D223" s="128">
        <f t="shared" si="19"/>
        <v>0.4</v>
      </c>
      <c r="E223" s="128">
        <f t="shared" si="19"/>
        <v>0.4</v>
      </c>
      <c r="F223" s="128">
        <f t="shared" si="19"/>
        <v>0.4</v>
      </c>
      <c r="G223" s="128">
        <f t="shared" si="19"/>
        <v>0.4</v>
      </c>
      <c r="H223" s="128">
        <f t="shared" si="19"/>
        <v>0.4</v>
      </c>
      <c r="I223" s="128">
        <f t="shared" si="19"/>
        <v>0.4</v>
      </c>
      <c r="J223" s="128">
        <f t="shared" si="19"/>
        <v>0.4</v>
      </c>
      <c r="K223" s="128">
        <f t="shared" si="19"/>
        <v>0.4</v>
      </c>
      <c r="L223" s="128">
        <f t="shared" si="19"/>
        <v>0.4</v>
      </c>
      <c r="M223" s="128">
        <f t="shared" si="19"/>
        <v>0.4</v>
      </c>
      <c r="N223" s="128">
        <f t="shared" si="19"/>
        <v>0.4</v>
      </c>
      <c r="O223" s="128">
        <f t="shared" si="19"/>
        <v>0.4</v>
      </c>
      <c r="P223" s="128">
        <f t="shared" si="1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8"/>
        <v>0</v>
      </c>
      <c r="C224" s="128">
        <v>1.5</v>
      </c>
      <c r="D224" s="128">
        <f t="shared" si="19"/>
        <v>1.5</v>
      </c>
      <c r="E224" s="128">
        <f t="shared" si="19"/>
        <v>1.5</v>
      </c>
      <c r="F224" s="128">
        <f t="shared" si="19"/>
        <v>1.5</v>
      </c>
      <c r="G224" s="128">
        <f t="shared" si="19"/>
        <v>1.5</v>
      </c>
      <c r="H224" s="128">
        <f t="shared" si="1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9"/>
        <v>1.5</v>
      </c>
      <c r="K224" s="128">
        <f t="shared" ca="1" si="19"/>
        <v>1.5</v>
      </c>
      <c r="L224" s="128">
        <f t="shared" ca="1" si="19"/>
        <v>1.5</v>
      </c>
      <c r="M224" s="128">
        <f t="shared" ca="1" si="19"/>
        <v>1.5</v>
      </c>
      <c r="N224" s="128">
        <f t="shared" ca="1" si="19"/>
        <v>1.5</v>
      </c>
      <c r="O224" s="128">
        <f t="shared" ca="1" si="19"/>
        <v>1.5</v>
      </c>
      <c r="P224" s="128">
        <f t="shared" ca="1" si="1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8"/>
        <v>0</v>
      </c>
      <c r="C225" s="128">
        <v>0.3</v>
      </c>
      <c r="D225" s="128">
        <f t="shared" si="19"/>
        <v>0.3</v>
      </c>
      <c r="E225" s="128">
        <f t="shared" si="19"/>
        <v>0.3</v>
      </c>
      <c r="F225" s="128">
        <f t="shared" si="19"/>
        <v>0.3</v>
      </c>
      <c r="G225" s="128">
        <f t="shared" si="19"/>
        <v>0.3</v>
      </c>
      <c r="H225" s="128">
        <f t="shared" si="19"/>
        <v>0.3</v>
      </c>
      <c r="I225" s="128">
        <f t="shared" si="19"/>
        <v>0.3</v>
      </c>
      <c r="J225" s="128">
        <f t="shared" si="19"/>
        <v>0.3</v>
      </c>
      <c r="K225" s="128">
        <f t="shared" si="19"/>
        <v>0.3</v>
      </c>
      <c r="L225" s="128">
        <f t="shared" si="19"/>
        <v>0.3</v>
      </c>
      <c r="M225" s="128">
        <f t="shared" si="19"/>
        <v>0.3</v>
      </c>
      <c r="N225" s="128">
        <f t="shared" si="19"/>
        <v>0.3</v>
      </c>
      <c r="O225" s="128">
        <f t="shared" si="19"/>
        <v>0.3</v>
      </c>
      <c r="P225" s="128">
        <f t="shared" si="1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8"/>
        <v>0</v>
      </c>
      <c r="C226" s="128">
        <v>0.4</v>
      </c>
      <c r="D226" s="128">
        <f t="shared" si="19"/>
        <v>0.4</v>
      </c>
      <c r="E226" s="128">
        <f t="shared" si="19"/>
        <v>0.4</v>
      </c>
      <c r="F226" s="128">
        <f t="shared" si="19"/>
        <v>0.4</v>
      </c>
      <c r="G226" s="128">
        <f t="shared" si="19"/>
        <v>0.4</v>
      </c>
      <c r="H226" s="128">
        <f t="shared" si="19"/>
        <v>0.4</v>
      </c>
      <c r="I226" s="128">
        <f t="shared" si="19"/>
        <v>0.4</v>
      </c>
      <c r="J226" s="128">
        <f t="shared" si="19"/>
        <v>0.4</v>
      </c>
      <c r="K226" s="128">
        <f t="shared" si="19"/>
        <v>0.4</v>
      </c>
      <c r="L226" s="128">
        <f t="shared" si="19"/>
        <v>0.4</v>
      </c>
      <c r="M226" s="128">
        <f t="shared" si="19"/>
        <v>0.4</v>
      </c>
      <c r="N226" s="128">
        <f t="shared" si="19"/>
        <v>0.4</v>
      </c>
      <c r="O226" s="128">
        <f t="shared" si="19"/>
        <v>0.4</v>
      </c>
      <c r="P226" s="128">
        <f t="shared" si="1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8"/>
        <v>0</v>
      </c>
      <c r="C227" s="132">
        <v>0.64</v>
      </c>
      <c r="D227" s="132">
        <f t="shared" si="19"/>
        <v>0.64</v>
      </c>
      <c r="E227" s="132">
        <f t="shared" si="19"/>
        <v>0.64</v>
      </c>
      <c r="F227" s="132">
        <f t="shared" si="19"/>
        <v>0.64</v>
      </c>
      <c r="G227" s="132">
        <f t="shared" si="19"/>
        <v>0.64</v>
      </c>
      <c r="H227" s="132">
        <f t="shared" si="19"/>
        <v>0.64</v>
      </c>
      <c r="I227" s="132">
        <f t="shared" si="19"/>
        <v>0.64</v>
      </c>
      <c r="J227" s="132">
        <f t="shared" si="19"/>
        <v>0.64</v>
      </c>
      <c r="K227" s="132">
        <f t="shared" si="19"/>
        <v>0.64</v>
      </c>
      <c r="L227" s="132">
        <f t="shared" si="19"/>
        <v>0.64</v>
      </c>
      <c r="M227" s="132">
        <f t="shared" si="19"/>
        <v>0.64</v>
      </c>
      <c r="N227" s="132">
        <f t="shared" si="19"/>
        <v>0.64</v>
      </c>
      <c r="O227" s="132">
        <f t="shared" si="19"/>
        <v>0.64</v>
      </c>
      <c r="P227" s="132">
        <f t="shared" si="1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0">SUM(B222:B227)</f>
        <v>0</v>
      </c>
      <c r="C228" s="136">
        <f t="shared" si="20"/>
        <v>3.54</v>
      </c>
      <c r="D228" s="136">
        <f t="shared" si="20"/>
        <v>3.54</v>
      </c>
      <c r="E228" s="136">
        <f t="shared" si="20"/>
        <v>3.54</v>
      </c>
      <c r="F228" s="136">
        <f t="shared" si="20"/>
        <v>3.54</v>
      </c>
      <c r="G228" s="136">
        <f t="shared" si="20"/>
        <v>3.54</v>
      </c>
      <c r="H228" s="136">
        <f t="shared" si="20"/>
        <v>3.54</v>
      </c>
      <c r="I228" s="136">
        <f t="shared" ca="1" si="20"/>
        <v>3.54</v>
      </c>
      <c r="J228" s="136">
        <f t="shared" ca="1" si="20"/>
        <v>3.54</v>
      </c>
      <c r="K228" s="136">
        <f t="shared" ca="1" si="20"/>
        <v>3.54</v>
      </c>
      <c r="L228" s="136">
        <f t="shared" ca="1" si="20"/>
        <v>3.54</v>
      </c>
      <c r="M228" s="136">
        <f t="shared" ca="1" si="20"/>
        <v>3.54</v>
      </c>
      <c r="N228" s="136">
        <f t="shared" ca="1" si="20"/>
        <v>3.54</v>
      </c>
      <c r="O228" s="136">
        <f t="shared" ca="1" si="20"/>
        <v>3.54</v>
      </c>
      <c r="P228" s="136">
        <f t="shared" ca="1" si="20"/>
        <v>3.54</v>
      </c>
      <c r="Q228" s="136">
        <f t="shared" si="20"/>
        <v>0</v>
      </c>
      <c r="R228" s="136">
        <f t="shared" si="20"/>
        <v>0</v>
      </c>
      <c r="S228" s="136">
        <f t="shared" si="20"/>
        <v>0</v>
      </c>
      <c r="T228" s="136">
        <f t="shared" si="20"/>
        <v>0</v>
      </c>
      <c r="U228" s="136">
        <f t="shared" si="20"/>
        <v>0</v>
      </c>
      <c r="V228" s="136">
        <f t="shared" si="20"/>
        <v>0</v>
      </c>
      <c r="W228" s="136">
        <f t="shared" si="20"/>
        <v>0</v>
      </c>
      <c r="X228" s="136">
        <f t="shared" si="20"/>
        <v>0</v>
      </c>
      <c r="Y228" s="136">
        <f t="shared" si="20"/>
        <v>0</v>
      </c>
      <c r="Z228" s="136">
        <f t="shared" si="20"/>
        <v>0</v>
      </c>
      <c r="AA228" s="136">
        <f t="shared" si="20"/>
        <v>0</v>
      </c>
      <c r="AB228" s="136">
        <f t="shared" si="20"/>
        <v>0</v>
      </c>
      <c r="AC228" s="136">
        <f t="shared" si="20"/>
        <v>0</v>
      </c>
      <c r="AD228" s="136">
        <f t="shared" si="20"/>
        <v>0</v>
      </c>
      <c r="AE228" s="136">
        <f t="shared" si="20"/>
        <v>0</v>
      </c>
      <c r="AF228" s="136">
        <f t="shared" si="20"/>
        <v>0</v>
      </c>
      <c r="AG228" s="145">
        <f t="shared" si="2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1458.94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2079/11/7)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1">B85</f>
        <v>908.44</v>
      </c>
      <c r="U242" s="170">
        <f t="shared" si="21"/>
        <v>852.54</v>
      </c>
      <c r="V242" s="170">
        <f t="shared" si="21"/>
        <v>880.04</v>
      </c>
      <c r="W242" s="170">
        <f t="shared" si="21"/>
        <v>873.04</v>
      </c>
      <c r="X242" s="170">
        <f t="shared" si="21"/>
        <v>877.54000000000008</v>
      </c>
      <c r="Y242" s="170">
        <f t="shared" si="21"/>
        <v>882.44</v>
      </c>
      <c r="Z242" s="170">
        <f t="shared" si="21"/>
        <v>961.54</v>
      </c>
      <c r="AA242" s="170">
        <f t="shared" si="21"/>
        <v>1009.44</v>
      </c>
      <c r="AB242" s="170">
        <f t="shared" si="21"/>
        <v>1102.1400000000001</v>
      </c>
      <c r="AC242" s="170">
        <f t="shared" si="21"/>
        <v>1185.44</v>
      </c>
      <c r="AD242" s="170">
        <f t="shared" si="21"/>
        <v>1395.74</v>
      </c>
      <c r="AE242" s="170">
        <f t="shared" si="21"/>
        <v>1458.94</v>
      </c>
      <c r="AF242" s="170">
        <f t="shared" si="21"/>
        <v>1455.24</v>
      </c>
      <c r="AG242" s="170">
        <f t="shared" si="21"/>
        <v>1439.04</v>
      </c>
      <c r="AH242" s="170">
        <f t="shared" si="21"/>
        <v>1382.1399999999999</v>
      </c>
      <c r="AI242" s="170">
        <f t="shared" si="21"/>
        <v>1312.94</v>
      </c>
      <c r="AJ242" s="170">
        <f t="shared" si="21"/>
        <v>1219.8399999999999</v>
      </c>
      <c r="AK242" s="170">
        <f t="shared" si="21"/>
        <v>1203.24</v>
      </c>
      <c r="AL242" s="170">
        <f t="shared" si="21"/>
        <v>1200.8399999999999</v>
      </c>
      <c r="AM242" s="170">
        <f t="shared" si="21"/>
        <v>1269.54</v>
      </c>
      <c r="AN242" s="170">
        <f t="shared" si="21"/>
        <v>1231.54</v>
      </c>
      <c r="AO242" s="170">
        <f t="shared" si="21"/>
        <v>1205.54</v>
      </c>
      <c r="AP242" s="170">
        <f t="shared" si="21"/>
        <v>1236.54</v>
      </c>
      <c r="AQ242" s="170">
        <f t="shared" si="21"/>
        <v>1355.54</v>
      </c>
      <c r="AR242" s="170">
        <f t="shared" si="21"/>
        <v>1472.2399999999998</v>
      </c>
      <c r="AS242" s="170">
        <f t="shared" si="21"/>
        <v>1390.84</v>
      </c>
      <c r="AT242" s="170">
        <f t="shared" si="21"/>
        <v>1308.1399999999999</v>
      </c>
      <c r="AU242" s="170">
        <f t="shared" si="21"/>
        <v>1219.3399999999999</v>
      </c>
      <c r="AV242" s="170">
        <f t="shared" si="21"/>
        <v>1124.04</v>
      </c>
      <c r="AW242" s="170">
        <f t="shared" si="21"/>
        <v>1059.6399999999999</v>
      </c>
      <c r="AX242" s="170">
        <f t="shared" si="21"/>
        <v>976.24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2">C227</f>
        <v>0.64</v>
      </c>
      <c r="C263" s="173">
        <f t="shared" si="22"/>
        <v>0.64</v>
      </c>
      <c r="D263" s="173">
        <f t="shared" si="22"/>
        <v>0.64</v>
      </c>
      <c r="E263" s="173">
        <f t="shared" si="22"/>
        <v>0.64</v>
      </c>
      <c r="F263" s="173">
        <f t="shared" si="22"/>
        <v>0.64</v>
      </c>
      <c r="G263" s="173">
        <f t="shared" si="22"/>
        <v>0.64</v>
      </c>
      <c r="H263" s="173">
        <f t="shared" si="22"/>
        <v>0.64</v>
      </c>
      <c r="I263" s="173">
        <f t="shared" si="22"/>
        <v>0.64</v>
      </c>
      <c r="J263" s="173">
        <f t="shared" si="22"/>
        <v>0.64</v>
      </c>
      <c r="K263" s="173">
        <f t="shared" si="22"/>
        <v>0.64</v>
      </c>
      <c r="L263" s="173">
        <f t="shared" si="22"/>
        <v>0.64</v>
      </c>
      <c r="M263" s="173">
        <f t="shared" si="22"/>
        <v>0.64</v>
      </c>
      <c r="N263" s="173">
        <f t="shared" si="22"/>
        <v>0.64</v>
      </c>
      <c r="O263" s="173">
        <f t="shared" si="22"/>
        <v>0.64</v>
      </c>
      <c r="P263" s="173">
        <f t="shared" si="22"/>
        <v>0</v>
      </c>
      <c r="Q263" s="173">
        <f t="shared" si="22"/>
        <v>0</v>
      </c>
      <c r="R263" s="173">
        <f t="shared" si="22"/>
        <v>0</v>
      </c>
      <c r="S263" s="173">
        <f t="shared" si="22"/>
        <v>0</v>
      </c>
      <c r="T263" s="173">
        <f t="shared" si="22"/>
        <v>0</v>
      </c>
      <c r="U263" s="173">
        <f t="shared" si="22"/>
        <v>0</v>
      </c>
      <c r="V263" s="173">
        <f t="shared" si="22"/>
        <v>0</v>
      </c>
      <c r="W263" s="173">
        <f t="shared" si="22"/>
        <v>0</v>
      </c>
      <c r="X263" s="173">
        <f t="shared" si="22"/>
        <v>0</v>
      </c>
      <c r="Y263" s="173">
        <f t="shared" si="22"/>
        <v>0</v>
      </c>
      <c r="Z263" s="173">
        <f t="shared" si="22"/>
        <v>0</v>
      </c>
      <c r="AA263" s="173">
        <f t="shared" si="22"/>
        <v>0</v>
      </c>
      <c r="AB263" s="173">
        <f t="shared" si="22"/>
        <v>0</v>
      </c>
      <c r="AC263" s="173">
        <f t="shared" si="22"/>
        <v>0</v>
      </c>
      <c r="AD263" s="173">
        <f t="shared" si="22"/>
        <v>0</v>
      </c>
      <c r="AE263" s="173">
        <f t="shared" si="2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3">IF(B231&lt;100,"",B231-520)</f>
        <v/>
      </c>
      <c r="C264" s="174" t="str">
        <f t="shared" si="23"/>
        <v/>
      </c>
      <c r="D264" s="174" t="str">
        <f t="shared" si="23"/>
        <v/>
      </c>
      <c r="E264" s="174" t="str">
        <f t="shared" si="23"/>
        <v/>
      </c>
      <c r="F264" s="174" t="str">
        <f t="shared" si="23"/>
        <v/>
      </c>
      <c r="G264" s="174" t="str">
        <f t="shared" si="23"/>
        <v/>
      </c>
      <c r="H264" s="174" t="str">
        <f t="shared" si="23"/>
        <v/>
      </c>
      <c r="I264" s="174" t="str">
        <f t="shared" si="23"/>
        <v/>
      </c>
      <c r="J264" s="174" t="str">
        <f t="shared" si="23"/>
        <v/>
      </c>
      <c r="K264" s="174" t="str">
        <f t="shared" si="23"/>
        <v/>
      </c>
      <c r="L264" s="174" t="str">
        <f t="shared" si="23"/>
        <v/>
      </c>
      <c r="M264" s="174" t="str">
        <f t="shared" si="23"/>
        <v/>
      </c>
      <c r="N264" s="174" t="str">
        <f t="shared" si="23"/>
        <v/>
      </c>
      <c r="O264" s="174" t="str">
        <f t="shared" si="23"/>
        <v/>
      </c>
      <c r="P264" s="174" t="str">
        <f t="shared" si="23"/>
        <v/>
      </c>
      <c r="Q264" s="174" t="str">
        <f t="shared" si="23"/>
        <v/>
      </c>
      <c r="R264" s="174" t="str">
        <f t="shared" si="23"/>
        <v/>
      </c>
      <c r="S264" s="174" t="str">
        <f t="shared" si="23"/>
        <v/>
      </c>
      <c r="T264" s="174" t="str">
        <f t="shared" si="23"/>
        <v/>
      </c>
      <c r="U264" s="174" t="str">
        <f t="shared" si="23"/>
        <v/>
      </c>
      <c r="V264" s="174" t="str">
        <f t="shared" si="23"/>
        <v/>
      </c>
      <c r="W264" s="174" t="str">
        <f t="shared" si="23"/>
        <v/>
      </c>
      <c r="X264" s="174" t="str">
        <f t="shared" si="23"/>
        <v/>
      </c>
      <c r="Y264" s="174" t="str">
        <f t="shared" si="23"/>
        <v/>
      </c>
      <c r="Z264" s="174" t="str">
        <f t="shared" si="23"/>
        <v/>
      </c>
      <c r="AA264" s="174" t="str">
        <f t="shared" si="23"/>
        <v/>
      </c>
      <c r="AB264" s="174" t="str">
        <f t="shared" si="23"/>
        <v/>
      </c>
      <c r="AC264" s="174" t="str">
        <f t="shared" si="23"/>
        <v/>
      </c>
      <c r="AD264" s="174" t="str">
        <f t="shared" si="23"/>
        <v/>
      </c>
      <c r="AE264" s="174" t="str">
        <f t="shared" si="23"/>
        <v/>
      </c>
      <c r="AF264" s="174" t="str">
        <f t="shared" si="2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4">IF(B232&lt;100,"",B232-620)</f>
        <v/>
      </c>
      <c r="C265" s="174" t="str">
        <f t="shared" si="24"/>
        <v/>
      </c>
      <c r="D265" s="174" t="str">
        <f t="shared" si="24"/>
        <v/>
      </c>
      <c r="E265" s="174" t="str">
        <f t="shared" si="24"/>
        <v/>
      </c>
      <c r="F265" s="174" t="str">
        <f t="shared" si="24"/>
        <v/>
      </c>
      <c r="G265" s="174" t="str">
        <f t="shared" si="24"/>
        <v/>
      </c>
      <c r="H265" s="174" t="str">
        <f t="shared" si="24"/>
        <v/>
      </c>
      <c r="I265" s="174" t="str">
        <f t="shared" si="24"/>
        <v/>
      </c>
      <c r="J265" s="174" t="str">
        <f t="shared" si="24"/>
        <v/>
      </c>
      <c r="K265" s="174" t="str">
        <f t="shared" si="24"/>
        <v/>
      </c>
      <c r="L265" s="174" t="str">
        <f t="shared" si="24"/>
        <v/>
      </c>
      <c r="M265" s="174" t="str">
        <f t="shared" si="24"/>
        <v/>
      </c>
      <c r="N265" s="174" t="str">
        <f t="shared" si="24"/>
        <v/>
      </c>
      <c r="O265" s="174" t="str">
        <f t="shared" si="24"/>
        <v/>
      </c>
      <c r="P265" s="174" t="str">
        <f t="shared" si="24"/>
        <v/>
      </c>
      <c r="Q265" s="174" t="str">
        <f t="shared" si="24"/>
        <v/>
      </c>
      <c r="R265" s="174" t="str">
        <f t="shared" si="24"/>
        <v/>
      </c>
      <c r="S265" s="174" t="str">
        <f t="shared" si="24"/>
        <v/>
      </c>
      <c r="T265" s="174" t="str">
        <f t="shared" si="24"/>
        <v/>
      </c>
      <c r="U265" s="174" t="str">
        <f t="shared" si="24"/>
        <v/>
      </c>
      <c r="V265" s="174" t="str">
        <f t="shared" si="24"/>
        <v/>
      </c>
      <c r="W265" s="174" t="str">
        <f t="shared" si="24"/>
        <v/>
      </c>
      <c r="X265" s="174" t="str">
        <f t="shared" si="24"/>
        <v/>
      </c>
      <c r="Y265" s="174" t="str">
        <f t="shared" si="24"/>
        <v/>
      </c>
      <c r="Z265" s="174" t="str">
        <f t="shared" si="24"/>
        <v/>
      </c>
      <c r="AA265" s="174" t="str">
        <f t="shared" si="24"/>
        <v/>
      </c>
      <c r="AB265" s="174" t="str">
        <f t="shared" si="24"/>
        <v/>
      </c>
      <c r="AC265" s="174" t="str">
        <f t="shared" si="24"/>
        <v/>
      </c>
      <c r="AD265" s="174" t="str">
        <f t="shared" si="24"/>
        <v/>
      </c>
      <c r="AE265" s="174" t="str">
        <f t="shared" si="24"/>
        <v/>
      </c>
      <c r="AF265" s="174" t="str">
        <f t="shared" si="2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5">IF(B233&lt;100,"",B233-330)</f>
        <v/>
      </c>
      <c r="C266" s="174" t="str">
        <f t="shared" si="25"/>
        <v/>
      </c>
      <c r="D266" s="174" t="str">
        <f t="shared" si="25"/>
        <v/>
      </c>
      <c r="E266" s="174" t="str">
        <f t="shared" si="25"/>
        <v/>
      </c>
      <c r="F266" s="174" t="str">
        <f t="shared" si="25"/>
        <v/>
      </c>
      <c r="G266" s="174" t="str">
        <f t="shared" si="25"/>
        <v/>
      </c>
      <c r="H266" s="174" t="str">
        <f t="shared" si="25"/>
        <v/>
      </c>
      <c r="I266" s="174" t="str">
        <f t="shared" si="25"/>
        <v/>
      </c>
      <c r="J266" s="174" t="str">
        <f t="shared" si="25"/>
        <v/>
      </c>
      <c r="K266" s="174" t="str">
        <f t="shared" si="25"/>
        <v/>
      </c>
      <c r="L266" s="174" t="str">
        <f t="shared" si="25"/>
        <v/>
      </c>
      <c r="M266" s="174" t="str">
        <f t="shared" si="25"/>
        <v/>
      </c>
      <c r="N266" s="174" t="str">
        <f t="shared" si="25"/>
        <v/>
      </c>
      <c r="O266" s="174" t="str">
        <f t="shared" si="25"/>
        <v/>
      </c>
      <c r="P266" s="174" t="str">
        <f t="shared" si="25"/>
        <v/>
      </c>
      <c r="Q266" s="174" t="str">
        <f t="shared" si="25"/>
        <v/>
      </c>
      <c r="R266" s="174" t="str">
        <f t="shared" si="25"/>
        <v/>
      </c>
      <c r="S266" s="174" t="str">
        <f t="shared" si="25"/>
        <v/>
      </c>
      <c r="T266" s="174" t="str">
        <f t="shared" si="25"/>
        <v/>
      </c>
      <c r="U266" s="174" t="str">
        <f t="shared" si="25"/>
        <v/>
      </c>
      <c r="V266" s="174" t="str">
        <f t="shared" si="25"/>
        <v/>
      </c>
      <c r="W266" s="174" t="str">
        <f t="shared" si="25"/>
        <v/>
      </c>
      <c r="X266" s="174" t="str">
        <f t="shared" si="25"/>
        <v/>
      </c>
      <c r="Y266" s="174" t="str">
        <f t="shared" si="25"/>
        <v/>
      </c>
      <c r="Z266" s="174" t="str">
        <f t="shared" si="25"/>
        <v/>
      </c>
      <c r="AA266" s="174" t="str">
        <f t="shared" si="25"/>
        <v/>
      </c>
      <c r="AB266" s="174" t="str">
        <f t="shared" si="25"/>
        <v/>
      </c>
      <c r="AC266" s="174" t="str">
        <f t="shared" si="25"/>
        <v/>
      </c>
      <c r="AD266" s="174" t="str">
        <f t="shared" si="25"/>
        <v/>
      </c>
      <c r="AE266" s="174" t="str">
        <f t="shared" si="25"/>
        <v/>
      </c>
      <c r="AF266" s="174" t="str">
        <f t="shared" si="2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6">IF(B234&lt;100,"",B234-1500)</f>
        <v/>
      </c>
      <c r="C267" s="174" t="str">
        <f t="shared" si="26"/>
        <v/>
      </c>
      <c r="D267" s="174" t="str">
        <f t="shared" si="26"/>
        <v/>
      </c>
      <c r="E267" s="174" t="str">
        <f t="shared" si="26"/>
        <v/>
      </c>
      <c r="F267" s="174" t="str">
        <f t="shared" si="26"/>
        <v/>
      </c>
      <c r="G267" s="174" t="str">
        <f t="shared" si="26"/>
        <v/>
      </c>
      <c r="H267" s="174" t="str">
        <f t="shared" si="26"/>
        <v/>
      </c>
      <c r="I267" s="174" t="str">
        <f t="shared" si="26"/>
        <v/>
      </c>
      <c r="J267" s="174" t="str">
        <f t="shared" si="26"/>
        <v/>
      </c>
      <c r="K267" s="174" t="str">
        <f t="shared" si="26"/>
        <v/>
      </c>
      <c r="L267" s="174" t="str">
        <f t="shared" si="26"/>
        <v/>
      </c>
      <c r="M267" s="174" t="str">
        <f t="shared" si="26"/>
        <v/>
      </c>
      <c r="N267" s="174" t="str">
        <f t="shared" si="26"/>
        <v/>
      </c>
      <c r="O267" s="174" t="str">
        <f t="shared" si="26"/>
        <v/>
      </c>
      <c r="P267" s="174" t="str">
        <f t="shared" si="26"/>
        <v/>
      </c>
      <c r="Q267" s="174" t="str">
        <f t="shared" si="26"/>
        <v/>
      </c>
      <c r="R267" s="174" t="str">
        <f t="shared" si="26"/>
        <v/>
      </c>
      <c r="S267" s="174" t="str">
        <f t="shared" si="26"/>
        <v/>
      </c>
      <c r="T267" s="174" t="str">
        <f t="shared" si="26"/>
        <v/>
      </c>
      <c r="U267" s="174" t="str">
        <f t="shared" si="26"/>
        <v/>
      </c>
      <c r="V267" s="174" t="str">
        <f t="shared" si="26"/>
        <v/>
      </c>
      <c r="W267" s="174" t="str">
        <f t="shared" si="26"/>
        <v/>
      </c>
      <c r="X267" s="174" t="str">
        <f t="shared" si="26"/>
        <v/>
      </c>
      <c r="Y267" s="174" t="str">
        <f t="shared" si="26"/>
        <v/>
      </c>
      <c r="Z267" s="174" t="str">
        <f t="shared" si="26"/>
        <v/>
      </c>
      <c r="AA267" s="174" t="str">
        <f t="shared" si="26"/>
        <v/>
      </c>
      <c r="AB267" s="174" t="str">
        <f t="shared" si="26"/>
        <v/>
      </c>
      <c r="AC267" s="174" t="str">
        <f t="shared" si="26"/>
        <v/>
      </c>
      <c r="AD267" s="174" t="str">
        <f t="shared" si="26"/>
        <v/>
      </c>
      <c r="AE267" s="174" t="str">
        <f t="shared" si="26"/>
        <v/>
      </c>
      <c r="AF267" s="174" t="str">
        <f t="shared" si="2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285" priority="1">
      <formula>$AH11=0</formula>
    </cfRule>
  </conditionalFormatting>
  <conditionalFormatting sqref="B8 M8 S8 AB8">
    <cfRule type="expression" dxfId="284" priority="241">
      <formula>AND(C$9&gt;=14/24,C$9&lt;20/24)</formula>
    </cfRule>
    <cfRule type="expression" dxfId="283" priority="243">
      <formula>C$9&lt;8/24</formula>
    </cfRule>
    <cfRule type="expression" dxfId="282" priority="242">
      <formula>AND(C$9&gt;=8/24,C$9&lt;14/24)</formula>
    </cfRule>
  </conditionalFormatting>
  <conditionalFormatting sqref="B49:L51">
    <cfRule type="expression" dxfId="277" priority="95">
      <formula>B$9&lt;8/24</formula>
    </cfRule>
    <cfRule type="expression" dxfId="276" priority="94">
      <formula>AND(B$9&gt;=8/24,B$9&lt;14/24)</formula>
    </cfRule>
    <cfRule type="expression" dxfId="275" priority="93">
      <formula>AND(B$9&gt;=14/24,B$9&lt;20/24)</formula>
    </cfRule>
    <cfRule type="expression" dxfId="274" priority="92">
      <formula>B$9&gt;=20/24</formula>
    </cfRule>
  </conditionalFormatting>
  <conditionalFormatting sqref="B11:X11">
    <cfRule type="expression" dxfId="273" priority="25">
      <formula>AND(B$9&gt;=8/24,B$9&lt;14/24)</formula>
    </cfRule>
    <cfRule type="expression" dxfId="272" priority="26">
      <formula>B$9&lt;8/24</formula>
    </cfRule>
    <cfRule type="expression" dxfId="271" priority="24">
      <formula>AND(B$9&gt;=14/24,B$9&lt;20/24)</formula>
    </cfRule>
    <cfRule type="expression" dxfId="270" priority="23">
      <formula>B$9&gt;=20/24</formula>
    </cfRule>
  </conditionalFormatting>
  <conditionalFormatting sqref="B12:X14">
    <cfRule type="expression" dxfId="269" priority="18">
      <formula>B$9&gt;=20/24</formula>
    </cfRule>
    <cfRule type="expression" dxfId="268" priority="19">
      <formula>AND(B$9&gt;=14/24,B$9&lt;20/24)</formula>
    </cfRule>
    <cfRule type="expression" dxfId="267" priority="20">
      <formula>AND(B$9&gt;=8/24,B$9&lt;14/24)</formula>
    </cfRule>
    <cfRule type="expression" dxfId="266" priority="21">
      <formula>B$9&lt;8/24</formula>
    </cfRule>
  </conditionalFormatting>
  <conditionalFormatting sqref="B15:X40">
    <cfRule type="expression" dxfId="265" priority="112">
      <formula>B$9&lt;8/24</formula>
    </cfRule>
    <cfRule type="expression" dxfId="264" priority="109">
      <formula>B$9&gt;=20/24</formula>
    </cfRule>
    <cfRule type="expression" dxfId="263" priority="110">
      <formula>AND(B$9&gt;=14/24,B$9&lt;20/24)</formula>
    </cfRule>
    <cfRule type="expression" dxfId="262" priority="111">
      <formula>AND(B$9&gt;=8/24,B$9&lt;14/24)</formula>
    </cfRule>
  </conditionalFormatting>
  <conditionalFormatting sqref="B41:X41">
    <cfRule type="expression" dxfId="261" priority="16">
      <formula>AND(B$9&gt;=8/24,B$9&lt;14/24)</formula>
    </cfRule>
    <cfRule type="expression" dxfId="260" priority="14">
      <formula>B$9&gt;=20/24</formula>
    </cfRule>
    <cfRule type="expression" dxfId="259" priority="15">
      <formula>AND(B$9&gt;=14/24,B$9&lt;20/24)</formula>
    </cfRule>
    <cfRule type="expression" dxfId="258" priority="17">
      <formula>B$9&lt;8/24</formula>
    </cfRule>
  </conditionalFormatting>
  <conditionalFormatting sqref="B42:X42">
    <cfRule type="expression" dxfId="257" priority="76">
      <formula>B$9&lt;8/24</formula>
    </cfRule>
    <cfRule type="expression" dxfId="256" priority="74">
      <formula>AND(B$9&gt;=14/24,B$9&lt;20/24)</formula>
    </cfRule>
    <cfRule type="expression" dxfId="255" priority="75">
      <formula>AND(B$9&gt;=8/24,B$9&lt;14/24)</formula>
    </cfRule>
    <cfRule type="expression" dxfId="254" priority="73">
      <formula>B$9&gt;=20/24</formula>
    </cfRule>
  </conditionalFormatting>
  <conditionalFormatting sqref="B9:AF10 B220:AF220 D222:AF223 B222:B228 D224:H224 J224:AF224 D225:AF228 U241:AF241">
    <cfRule type="expression" dxfId="253" priority="234">
      <formula>B$9&gt;=20/24</formula>
    </cfRule>
    <cfRule type="expression" dxfId="252" priority="235">
      <formula>AND(B$9&gt;=14/24,B$9&lt;20/24)</formula>
    </cfRule>
    <cfRule type="expression" dxfId="251" priority="236">
      <formula>AND(B$9&gt;=8/24,B$9&lt;14/24)</formula>
    </cfRule>
    <cfRule type="expression" dxfId="250" priority="237">
      <formula>B$9&lt;8/24</formula>
    </cfRule>
  </conditionalFormatting>
  <conditionalFormatting sqref="B11:AF66">
    <cfRule type="expression" dxfId="249" priority="22">
      <formula>B11&gt;$AG11</formula>
    </cfRule>
  </conditionalFormatting>
  <conditionalFormatting sqref="B43:AF43">
    <cfRule type="expression" dxfId="248" priority="107">
      <formula>AND(B$9&gt;=8/24,B$9&lt;14/24)</formula>
    </cfRule>
    <cfRule type="expression" dxfId="247" priority="105">
      <formula>B$9&gt;=20/24</formula>
    </cfRule>
    <cfRule type="expression" dxfId="246" priority="106">
      <formula>AND(B$9&gt;=14/24,B$9&lt;20/24)</formula>
    </cfRule>
    <cfRule type="expression" dxfId="245" priority="108">
      <formula>B$9&lt;8/24</formula>
    </cfRule>
  </conditionalFormatting>
  <conditionalFormatting sqref="B45:AF48">
    <cfRule type="expression" dxfId="244" priority="50">
      <formula>B$9&gt;=20/24</formula>
    </cfRule>
    <cfRule type="expression" dxfId="243" priority="51">
      <formula>AND(B$9&gt;=14/24,B$9&lt;20/24)</formula>
    </cfRule>
    <cfRule type="expression" dxfId="242" priority="52">
      <formula>AND(B$9&gt;=8/24,B$9&lt;14/24)</formula>
    </cfRule>
    <cfRule type="expression" dxfId="241" priority="53">
      <formula>B$9&lt;8/24</formula>
    </cfRule>
  </conditionalFormatting>
  <conditionalFormatting sqref="B54:AF60">
    <cfRule type="expression" dxfId="240" priority="31">
      <formula>AND(B$9&gt;=8/24,B$9&lt;14/24)</formula>
    </cfRule>
    <cfRule type="expression" dxfId="239" priority="29">
      <formula>B$9&gt;=20/24</formula>
    </cfRule>
    <cfRule type="expression" dxfId="238" priority="32">
      <formula>B$9&lt;8/24</formula>
    </cfRule>
    <cfRule type="expression" dxfId="237" priority="30">
      <formula>AND(B$9&gt;=14/24,B$9&lt;20/24)</formula>
    </cfRule>
  </conditionalFormatting>
  <conditionalFormatting sqref="B63:AF72">
    <cfRule type="expression" dxfId="236" priority="70">
      <formula>AND(B$9&gt;=8/24,B$9&lt;14/24)</formula>
    </cfRule>
    <cfRule type="expression" dxfId="235" priority="69">
      <formula>AND(B$9&gt;=14/24,B$9&lt;20/24)</formula>
    </cfRule>
    <cfRule type="expression" dxfId="234" priority="68">
      <formula>B$9&gt;=20/24</formula>
    </cfRule>
    <cfRule type="expression" dxfId="233" priority="71">
      <formula>B$9&lt;8/24</formula>
    </cfRule>
  </conditionalFormatting>
  <conditionalFormatting sqref="B73:AF85">
    <cfRule type="expression" dxfId="232" priority="13">
      <formula>B$9&lt;8/24</formula>
    </cfRule>
    <cfRule type="expression" dxfId="231" priority="12">
      <formula>AND(B$9&gt;=8/24,B$9&lt;14/24)</formula>
    </cfRule>
    <cfRule type="expression" dxfId="230" priority="10">
      <formula>B$9&gt;=20/24</formula>
    </cfRule>
    <cfRule type="expression" dxfId="229" priority="11">
      <formula>AND(B$9&gt;=14/24,B$9&lt;20/24)</formula>
    </cfRule>
  </conditionalFormatting>
  <conditionalFormatting sqref="B87:AF103">
    <cfRule type="expression" dxfId="224" priority="45">
      <formula>B$9&gt;=20/24</formula>
    </cfRule>
    <cfRule type="expression" dxfId="223" priority="47">
      <formula>AND(B$9&gt;=8/24,B$9&lt;14/24)</formula>
    </cfRule>
    <cfRule type="expression" dxfId="222" priority="48">
      <formula>B$9&lt;8/24</formula>
    </cfRule>
    <cfRule type="expression" dxfId="221" priority="46">
      <formula>AND(B$9&gt;=14/24,B$9&lt;20/24)</formula>
    </cfRule>
  </conditionalFormatting>
  <conditionalFormatting sqref="B105:AF112">
    <cfRule type="expression" dxfId="220" priority="33">
      <formula>B$9&gt;=20/24</formula>
    </cfRule>
    <cfRule type="expression" dxfId="219" priority="36">
      <formula>B$9&lt;8/24</formula>
    </cfRule>
    <cfRule type="expression" dxfId="218" priority="35">
      <formula>AND(B$9&gt;=8/24,B$9&lt;14/24)</formula>
    </cfRule>
    <cfRule type="expression" dxfId="217" priority="34">
      <formula>AND(B$9&gt;=14/24,B$9&lt;20/24)</formula>
    </cfRule>
  </conditionalFormatting>
  <conditionalFormatting sqref="M49:AF53">
    <cfRule type="expression" dxfId="212" priority="191">
      <formula>AND(M$9&gt;=14/24,M$9&lt;20/24)</formula>
    </cfRule>
    <cfRule type="expression" dxfId="211" priority="190">
      <formula>M$9&gt;=20/24</formula>
    </cfRule>
    <cfRule type="expression" dxfId="210" priority="192">
      <formula>AND(M$9&gt;=8/24,M$9&lt;14/24)</formula>
    </cfRule>
    <cfRule type="expression" dxfId="209" priority="193">
      <formula>M$9&lt;8/24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08" priority="240">
      <formula>C$9&gt;=20/24</formula>
    </cfRule>
  </conditionalFormatting>
  <conditionalFormatting sqref="S8">
    <cfRule type="expression" dxfId="207" priority="216">
      <formula>U$9&lt;8/24</formula>
    </cfRule>
    <cfRule type="expression" dxfId="206" priority="215">
      <formula>AND(U$9&gt;=8/24,U$9&lt;14/24)</formula>
    </cfRule>
    <cfRule type="expression" dxfId="205" priority="213">
      <formula>U$9&gt;=20/24</formula>
    </cfRule>
    <cfRule type="expression" dxfId="204" priority="214">
      <formula>AND(U$9&gt;=14/24,U$9&lt;20/24)</formula>
    </cfRule>
  </conditionalFormatting>
  <conditionalFormatting sqref="T241">
    <cfRule type="expression" dxfId="203" priority="255">
      <formula>AND(AX$9&gt;=8/24,AX$9&lt;14/24)</formula>
    </cfRule>
    <cfRule type="expression" dxfId="202" priority="256">
      <formula>AX$9&lt;8/24</formula>
    </cfRule>
    <cfRule type="expression" dxfId="201" priority="253">
      <formula>AX$9&gt;=20/24</formula>
    </cfRule>
    <cfRule type="expression" dxfId="200" priority="254">
      <formula>AND(AX$9&gt;=14/24,AX$9&lt;20/24)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11:AF42">
    <cfRule type="expression" dxfId="199" priority="178">
      <formula>AND(Y$9&gt;=8/24,Y$9&lt;14/24)</formula>
    </cfRule>
    <cfRule type="expression" dxfId="198" priority="177">
      <formula>AND(Y$9&gt;=14/24,Y$9&lt;20/24)</formula>
    </cfRule>
    <cfRule type="expression" dxfId="197" priority="179">
      <formula>Y$9&lt;8/24</formula>
    </cfRule>
    <cfRule type="expression" dxfId="196" priority="176">
      <formula>Y$9&gt;=20/24</formula>
    </cfRule>
  </conditionalFormatting>
  <conditionalFormatting sqref="AB8">
    <cfRule type="expression" dxfId="195" priority="209">
      <formula>AD$9&gt;=20/24</formula>
    </cfRule>
    <cfRule type="expression" dxfId="194" priority="211">
      <formula>AND(AD$9&gt;=8/24,AD$9&lt;14/24)</formula>
    </cfRule>
    <cfRule type="expression" dxfId="193" priority="212">
      <formula>AD$9&lt;8/24</formula>
    </cfRule>
    <cfRule type="expression" dxfId="192" priority="210">
      <formula>AND(AD$9&gt;=14/24,AD$9&lt;20/24)</formula>
    </cfRule>
  </conditionalFormatting>
  <conditionalFormatting sqref="AG44 AG61:AG62 AG66">
    <cfRule type="expression" dxfId="191" priority="166">
      <formula>AG44&gt;$AG44</formula>
    </cfRule>
  </conditionalFormatting>
  <conditionalFormatting sqref="AG48">
    <cfRule type="expression" dxfId="190" priority="146">
      <formula>AG48&gt;$AG48</formula>
    </cfRule>
    <cfRule type="expression" dxfId="189" priority="147">
      <formula>AG$9&gt;=20/24</formula>
    </cfRule>
    <cfRule type="expression" dxfId="188" priority="148">
      <formula>AND(AG$9&gt;=14/24,AG$9&lt;20/24)</formula>
    </cfRule>
    <cfRule type="expression" dxfId="187" priority="150">
      <formula>AG$9&lt;8/24</formula>
    </cfRule>
    <cfRule type="expression" dxfId="186" priority="149">
      <formula>AND(AG$9&gt;=8/24,AG$9&lt;14/24)</formula>
    </cfRule>
  </conditionalFormatting>
  <conditionalFormatting sqref="AG66 AG83">
    <cfRule type="expression" dxfId="185" priority="170">
      <formula>AG$9&lt;8/24</formula>
    </cfRule>
    <cfRule type="expression" dxfId="184" priority="169">
      <formula>AND(AG$9&gt;=8/24,AG$9&lt;14/24)</formula>
    </cfRule>
    <cfRule type="expression" dxfId="183" priority="168">
      <formula>AND(AG$9&gt;=14/24,AG$9&lt;20/24)</formula>
    </cfRule>
    <cfRule type="expression" dxfId="182" priority="167">
      <formula>AG$9&gt;=20/24</formula>
    </cfRule>
  </conditionalFormatting>
  <conditionalFormatting sqref="AG241">
    <cfRule type="expression" dxfId="181" priority="248">
      <formula>B$9&lt;8/24</formula>
    </cfRule>
    <cfRule type="expression" dxfId="180" priority="245">
      <formula>B$9&gt;=20/24</formula>
    </cfRule>
    <cfRule type="expression" dxfId="179" priority="246">
      <formula>AND(B$9&gt;=14/24,B$9&lt;20/24)</formula>
    </cfRule>
    <cfRule type="expression" dxfId="178" priority="247">
      <formula>AND(B$9&gt;=8/24,B$9&lt;14/24)</formula>
    </cfRule>
  </conditionalFormatting>
  <conditionalFormatting sqref="AH241:AX241">
    <cfRule type="expression" dxfId="177" priority="252">
      <formula>AG$9&lt;8/24</formula>
    </cfRule>
    <cfRule type="expression" dxfId="176" priority="250">
      <formula>AND(AG$9&gt;=14/24,AG$9&lt;20/24)</formula>
    </cfRule>
    <cfRule type="expression" dxfId="175" priority="251">
      <formula>AND(AG$9&gt;=8/24,AG$9&lt;14/24)</formula>
    </cfRule>
    <cfRule type="expression" dxfId="174" priority="249">
      <formula>AG$9&gt;=20/24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73" priority="260">
      <formula>AND(AJ$9&gt;=8/24,AJ$9&lt;14/24)</formula>
    </cfRule>
    <cfRule type="expression" dxfId="172" priority="261">
      <formula>AJ$9&lt;8/24</formula>
    </cfRule>
    <cfRule type="expression" dxfId="171" priority="258">
      <formula>AJ$9&gt;=20/24</formula>
    </cfRule>
    <cfRule type="expression" dxfId="170" priority="259">
      <formula>AND(AJ$9&gt;=14/24,AJ$9&lt;20/24)</formula>
    </cfRule>
  </conditionalFormatting>
  <conditionalFormatting sqref="AL74:AN74 AL80:AN80">
    <cfRule type="expression" dxfId="169" priority="6">
      <formula>AL$9&gt;=20/24</formula>
    </cfRule>
    <cfRule type="expression" dxfId="168" priority="7">
      <formula>AND(AL$9&gt;=14/24,AL$9&lt;20/24)</formula>
    </cfRule>
    <cfRule type="expression" dxfId="167" priority="8">
      <formula>AND(AL$9&gt;=8/24,AL$9&lt;14/24)</formula>
    </cfRule>
    <cfRule type="expression" dxfId="166" priority="9">
      <formula>AL$9&lt;8/24</formula>
    </cfRule>
  </conditionalFormatting>
  <conditionalFormatting sqref="AN75:AN78">
    <cfRule type="expression" dxfId="165" priority="2">
      <formula>AN$9&gt;=20/24</formula>
    </cfRule>
    <cfRule type="expression" dxfId="164" priority="3">
      <formula>AND(AN$9&gt;=14/24,AN$9&lt;20/24)</formula>
    </cfRule>
    <cfRule type="expression" dxfId="163" priority="4">
      <formula>AND(AN$9&gt;=8/24,AN$9&lt;14/24)</formula>
    </cfRule>
    <cfRule type="expression" dxfId="162" priority="5">
      <formula>AN$9&lt;8/24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4F8D4691-FFAF-4EAB-B844-6BE463CEDAF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482086EA-9C03-4630-ACFC-4112FE6A082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831FD51E-142B-469E-8B84-B1E19A3200C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EB0F2E93-550A-4000-9790-EFD1A0A9129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2" id="{0DB6BDC3-2255-4C15-BE2A-BA7AEA89F3A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54DA38B7-AA12-4DC9-821A-DD7D6150909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32025BA7-EB5C-493E-834E-8F65EEE6D67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333F75E0-E090-4A86-92AC-B6A28C3F306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5" id="{ED4DA00C-3723-450E-BFF8-CCBC96A996C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DE2316FF-A28C-47DF-93C5-44608939185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4" id="{FABFAF4F-D724-4209-B9CB-AC6B94F60CD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9BE9055D-C468-410B-AAFD-A6854CF609B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4"/>
  <sheetViews>
    <sheetView workbookViewId="0">
      <pane ySplit="10" topLeftCell="A50" activePane="bottomLeft" state="frozen"/>
      <selection activeCell="Z85" sqref="Z85"/>
      <selection pane="bottomLeft" activeCell="L52" sqref="L5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2079/11/8</v>
      </c>
      <c r="C4" s="208"/>
      <c r="D4" s="208"/>
      <c r="E4" s="209" t="str">
        <f ca="1">"2079/"&amp;"11/"&amp;INT(MID(CELL("filename",G6),FIND("]",CELL("filename",G6))+1,200))</f>
        <v>2079/11/8</v>
      </c>
      <c r="F4" s="209"/>
      <c r="G4" s="209"/>
      <c r="H4" s="209" t="str">
        <f ca="1">TEXT(E4,"dddd")</f>
        <v>Wednesday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437.70000000000005</v>
      </c>
      <c r="C5" s="30">
        <f t="shared" si="0"/>
        <v>429.3</v>
      </c>
      <c r="D5" s="30">
        <f t="shared" si="0"/>
        <v>381.70000000000005</v>
      </c>
      <c r="E5" s="30">
        <f t="shared" si="0"/>
        <v>359</v>
      </c>
      <c r="F5" s="30">
        <f t="shared" si="0"/>
        <v>377.9</v>
      </c>
      <c r="G5" s="30">
        <f t="shared" si="0"/>
        <v>403.59999999999997</v>
      </c>
      <c r="H5" s="30">
        <f t="shared" si="0"/>
        <v>435.8</v>
      </c>
      <c r="I5" s="30">
        <f t="shared" si="0"/>
        <v>341.2</v>
      </c>
      <c r="J5" s="30">
        <f t="shared" si="0"/>
        <v>214.4</v>
      </c>
      <c r="K5" s="30">
        <f t="shared" si="0"/>
        <v>155.6</v>
      </c>
      <c r="L5" s="30">
        <f t="shared" si="0"/>
        <v>140.69999999999999</v>
      </c>
      <c r="M5" s="30">
        <f t="shared" si="0"/>
        <v>164</v>
      </c>
      <c r="N5" s="30">
        <f t="shared" si="0"/>
        <v>331</v>
      </c>
      <c r="O5" s="30">
        <f t="shared" si="0"/>
        <v>458.9</v>
      </c>
      <c r="P5" s="30">
        <f t="shared" si="0"/>
        <v>415.2</v>
      </c>
      <c r="Q5" s="30">
        <f t="shared" si="0"/>
        <v>480.6</v>
      </c>
      <c r="R5" s="30">
        <f t="shared" si="0"/>
        <v>466.6</v>
      </c>
      <c r="S5" s="30">
        <f t="shared" si="0"/>
        <v>486</v>
      </c>
      <c r="T5" s="30">
        <f t="shared" si="0"/>
        <v>491.7</v>
      </c>
      <c r="U5" s="30">
        <f t="shared" si="0"/>
        <v>477</v>
      </c>
      <c r="V5" s="30">
        <f t="shared" si="0"/>
        <v>363.9</v>
      </c>
      <c r="W5" s="30">
        <f t="shared" si="0"/>
        <v>324.60000000000002</v>
      </c>
      <c r="X5" s="30">
        <f t="shared" si="0"/>
        <v>382.8</v>
      </c>
      <c r="Y5" s="30">
        <f t="shared" si="0"/>
        <v>385.7</v>
      </c>
      <c r="Z5" s="30">
        <f t="shared" si="0"/>
        <v>268.3</v>
      </c>
      <c r="AA5" s="30">
        <f t="shared" si="0"/>
        <v>475.3</v>
      </c>
      <c r="AB5" s="30">
        <f t="shared" si="0"/>
        <v>466</v>
      </c>
      <c r="AC5" s="30">
        <f t="shared" si="0"/>
        <v>442.79999999999995</v>
      </c>
      <c r="AD5" s="30">
        <f t="shared" si="0"/>
        <v>448.40000000000003</v>
      </c>
      <c r="AE5" s="30">
        <f t="shared" si="0"/>
        <v>432.40000000000003</v>
      </c>
      <c r="AF5" s="30">
        <f>B78</f>
        <v>452.7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1481MW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Load=891</v>
      </c>
      <c r="B7" s="35">
        <f t="shared" ref="B7:AF7" si="1">B85</f>
        <v>948.04</v>
      </c>
      <c r="C7" s="35">
        <f t="shared" si="1"/>
        <v>945.24</v>
      </c>
      <c r="D7" s="35">
        <f t="shared" si="1"/>
        <v>922.94</v>
      </c>
      <c r="E7" s="35">
        <f t="shared" si="1"/>
        <v>893.6400000000001</v>
      </c>
      <c r="F7" s="35">
        <f t="shared" si="1"/>
        <v>891.24</v>
      </c>
      <c r="G7" s="35">
        <f t="shared" si="1"/>
        <v>958.84</v>
      </c>
      <c r="H7" s="35">
        <f t="shared" si="1"/>
        <v>1035.3399999999999</v>
      </c>
      <c r="I7" s="35">
        <f t="shared" si="1"/>
        <v>1131.04</v>
      </c>
      <c r="J7" s="35">
        <f t="shared" si="1"/>
        <v>1206.1399999999999</v>
      </c>
      <c r="K7" s="35">
        <f t="shared" si="1"/>
        <v>1284.2400000000002</v>
      </c>
      <c r="L7" s="35">
        <f t="shared" si="1"/>
        <v>1481.04</v>
      </c>
      <c r="M7" s="35">
        <f t="shared" si="1"/>
        <v>1471.74</v>
      </c>
      <c r="N7" s="35">
        <f>N85</f>
        <v>1342.04</v>
      </c>
      <c r="O7" s="35">
        <f t="shared" si="1"/>
        <v>1350.54</v>
      </c>
      <c r="P7" s="35">
        <f t="shared" si="1"/>
        <v>1292.1399999999999</v>
      </c>
      <c r="Q7" s="35">
        <f t="shared" si="1"/>
        <v>1193.6400000000001</v>
      </c>
      <c r="R7" s="35">
        <f t="shared" si="1"/>
        <v>1266.6399999999999</v>
      </c>
      <c r="S7" s="35">
        <f t="shared" si="1"/>
        <v>1279.04</v>
      </c>
      <c r="T7" s="35">
        <f t="shared" si="1"/>
        <v>1263.6399999999999</v>
      </c>
      <c r="U7" s="35">
        <f t="shared" si="1"/>
        <v>1265.24</v>
      </c>
      <c r="V7" s="35">
        <f t="shared" si="1"/>
        <v>1326.24</v>
      </c>
      <c r="W7" s="35">
        <f t="shared" si="1"/>
        <v>1277.7399999999998</v>
      </c>
      <c r="X7" s="35">
        <f t="shared" si="1"/>
        <v>1315.8400000000001</v>
      </c>
      <c r="Y7" s="35">
        <f t="shared" si="1"/>
        <v>1579.1399999999999</v>
      </c>
      <c r="Z7" s="35">
        <f t="shared" si="1"/>
        <v>1609.74</v>
      </c>
      <c r="AA7" s="35">
        <f t="shared" si="1"/>
        <v>1468.04</v>
      </c>
      <c r="AB7" s="35">
        <f t="shared" si="1"/>
        <v>1367.54</v>
      </c>
      <c r="AC7" s="35">
        <f t="shared" si="1"/>
        <v>1329.44</v>
      </c>
      <c r="AD7" s="35">
        <f t="shared" si="1"/>
        <v>1261.6399999999999</v>
      </c>
      <c r="AE7" s="35">
        <f t="shared" si="1"/>
        <v>1138.3400000000001</v>
      </c>
      <c r="AF7" s="35">
        <f t="shared" si="1"/>
        <v>1043.44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16.7</v>
      </c>
      <c r="C11" s="45">
        <v>18.600000000000001</v>
      </c>
      <c r="D11" s="45">
        <v>18.7</v>
      </c>
      <c r="E11" s="45">
        <v>18.7</v>
      </c>
      <c r="F11" s="45">
        <v>18.7</v>
      </c>
      <c r="G11" s="45">
        <v>18.7</v>
      </c>
      <c r="H11" s="45">
        <v>18.7</v>
      </c>
      <c r="I11" s="45">
        <v>18.7</v>
      </c>
      <c r="J11" s="45">
        <v>18.7</v>
      </c>
      <c r="K11" s="45">
        <v>18.7</v>
      </c>
      <c r="L11" s="45">
        <v>18.7</v>
      </c>
      <c r="M11" s="45">
        <v>18.7</v>
      </c>
      <c r="N11" s="45">
        <v>18.7</v>
      </c>
      <c r="O11" s="45">
        <v>18.7</v>
      </c>
      <c r="P11" s="45">
        <v>16</v>
      </c>
      <c r="Q11" s="45">
        <v>16</v>
      </c>
      <c r="R11" s="45">
        <v>16</v>
      </c>
      <c r="S11" s="45">
        <v>16</v>
      </c>
      <c r="T11" s="45">
        <v>16.8</v>
      </c>
      <c r="U11" s="45">
        <v>16.8</v>
      </c>
      <c r="V11" s="45">
        <v>16.8</v>
      </c>
      <c r="W11" s="45">
        <v>16.8</v>
      </c>
      <c r="X11" s="45">
        <v>16.8</v>
      </c>
      <c r="Y11" s="45">
        <v>15.9</v>
      </c>
      <c r="Z11" s="45">
        <v>15.9</v>
      </c>
      <c r="AA11" s="45">
        <v>15.9</v>
      </c>
      <c r="AB11" s="45">
        <v>15.9</v>
      </c>
      <c r="AC11" s="45">
        <v>15.9</v>
      </c>
      <c r="AD11" s="45">
        <v>15.9</v>
      </c>
      <c r="AE11" s="45">
        <v>15.9</v>
      </c>
      <c r="AF11" s="45">
        <v>15.9</v>
      </c>
      <c r="AG11" s="46">
        <v>52.4</v>
      </c>
      <c r="AH11" s="47">
        <f t="shared" ref="AH11:AH74" si="2">MAX(B11:AF11)</f>
        <v>18.7</v>
      </c>
      <c r="AI11" s="48">
        <f t="shared" ref="AI11:AI74" si="3">MIN(B11:AF11)</f>
        <v>15.9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31.1</v>
      </c>
      <c r="C12" s="45">
        <v>31.5</v>
      </c>
      <c r="D12" s="45">
        <v>31.6</v>
      </c>
      <c r="E12" s="45">
        <v>31.6</v>
      </c>
      <c r="F12" s="45">
        <v>31.6</v>
      </c>
      <c r="G12" s="45">
        <v>31.6</v>
      </c>
      <c r="H12" s="45">
        <v>31.6</v>
      </c>
      <c r="I12" s="45">
        <v>31.6</v>
      </c>
      <c r="J12" s="45">
        <v>31.6</v>
      </c>
      <c r="K12" s="45">
        <v>31.6</v>
      </c>
      <c r="L12" s="45">
        <v>31.6</v>
      </c>
      <c r="M12" s="45">
        <v>31.6</v>
      </c>
      <c r="N12" s="45">
        <v>31.6</v>
      </c>
      <c r="O12" s="45">
        <v>31.6</v>
      </c>
      <c r="P12" s="45">
        <v>30.9</v>
      </c>
      <c r="Q12" s="45">
        <v>30.9</v>
      </c>
      <c r="R12" s="45">
        <v>30.9</v>
      </c>
      <c r="S12" s="45">
        <v>30.9</v>
      </c>
      <c r="T12" s="45">
        <v>30.9</v>
      </c>
      <c r="U12" s="45">
        <v>30.9</v>
      </c>
      <c r="V12" s="45">
        <v>30.9</v>
      </c>
      <c r="W12" s="45">
        <v>30.9</v>
      </c>
      <c r="X12" s="45">
        <v>30.9</v>
      </c>
      <c r="Y12" s="45">
        <v>31.5</v>
      </c>
      <c r="Z12" s="45">
        <v>31.5</v>
      </c>
      <c r="AA12" s="45">
        <v>31.5</v>
      </c>
      <c r="AB12" s="45">
        <v>31.5</v>
      </c>
      <c r="AC12" s="45">
        <v>31.5</v>
      </c>
      <c r="AD12" s="45">
        <v>31.5</v>
      </c>
      <c r="AE12" s="45">
        <v>31.5</v>
      </c>
      <c r="AF12" s="45">
        <v>31.5</v>
      </c>
      <c r="AG12" s="50">
        <v>50</v>
      </c>
      <c r="AH12" s="47">
        <f t="shared" si="2"/>
        <v>31.6</v>
      </c>
      <c r="AI12" s="48">
        <f t="shared" si="3"/>
        <v>30.9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19.2</v>
      </c>
      <c r="C13" s="45">
        <v>19.2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19.100000000000001</v>
      </c>
      <c r="P13" s="45">
        <v>19</v>
      </c>
      <c r="Q13" s="45">
        <v>19</v>
      </c>
      <c r="R13" s="45">
        <v>19</v>
      </c>
      <c r="S13" s="45">
        <v>19</v>
      </c>
      <c r="T13" s="45">
        <v>19</v>
      </c>
      <c r="U13" s="45">
        <v>19</v>
      </c>
      <c r="V13" s="45">
        <v>19</v>
      </c>
      <c r="W13" s="45">
        <v>19</v>
      </c>
      <c r="X13" s="45">
        <v>19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19.2</v>
      </c>
      <c r="AI13" s="48">
        <f t="shared" si="3"/>
        <v>19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10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</v>
      </c>
      <c r="Q15" s="45">
        <v>16</v>
      </c>
      <c r="R15" s="45">
        <v>16</v>
      </c>
      <c r="S15" s="45">
        <v>16</v>
      </c>
      <c r="T15" s="45">
        <v>16</v>
      </c>
      <c r="U15" s="45">
        <v>16</v>
      </c>
      <c r="V15" s="45">
        <v>16</v>
      </c>
      <c r="W15" s="45">
        <v>16</v>
      </c>
      <c r="X15" s="45">
        <v>16</v>
      </c>
      <c r="Y15" s="45">
        <v>16</v>
      </c>
      <c r="Z15" s="45">
        <v>16</v>
      </c>
      <c r="AA15" s="45">
        <v>16</v>
      </c>
      <c r="AB15" s="45">
        <v>16</v>
      </c>
      <c r="AC15" s="45">
        <v>16</v>
      </c>
      <c r="AD15" s="45">
        <v>16</v>
      </c>
      <c r="AE15" s="45">
        <v>16</v>
      </c>
      <c r="AF15" s="45">
        <v>16</v>
      </c>
      <c r="AG15" s="50">
        <v>36</v>
      </c>
      <c r="AH15" s="47">
        <f t="shared" si="2"/>
        <v>16.5</v>
      </c>
      <c r="AI15" s="48">
        <f t="shared" si="3"/>
        <v>16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9.6999999999999993</v>
      </c>
      <c r="C16" s="45">
        <v>8.9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7.9</v>
      </c>
      <c r="Z16" s="45">
        <v>7.9</v>
      </c>
      <c r="AA16" s="45">
        <v>7.9</v>
      </c>
      <c r="AB16" s="45">
        <v>7.9</v>
      </c>
      <c r="AC16" s="45">
        <v>7.9</v>
      </c>
      <c r="AD16" s="45">
        <v>7.9</v>
      </c>
      <c r="AE16" s="45">
        <v>7.9</v>
      </c>
      <c r="AF16" s="45">
        <v>7.9</v>
      </c>
      <c r="AG16" s="51">
        <v>30</v>
      </c>
      <c r="AH16" s="47">
        <f t="shared" si="2"/>
        <v>9.6999999999999993</v>
      </c>
      <c r="AI16" s="48">
        <f t="shared" si="3"/>
        <v>7.9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7.2</v>
      </c>
      <c r="C17" s="45">
        <v>7.1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7.2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10.199999999999999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10.199999999999999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7.1</v>
      </c>
      <c r="C24" s="45">
        <v>7.1</v>
      </c>
      <c r="D24" s="45">
        <v>7.1</v>
      </c>
      <c r="E24" s="45">
        <v>7.1</v>
      </c>
      <c r="F24" s="45">
        <v>7.1</v>
      </c>
      <c r="G24" s="45">
        <v>7.1</v>
      </c>
      <c r="H24" s="45">
        <v>7.1</v>
      </c>
      <c r="I24" s="45">
        <v>7.1</v>
      </c>
      <c r="J24" s="45">
        <v>7.1</v>
      </c>
      <c r="K24" s="45">
        <v>7.1</v>
      </c>
      <c r="L24" s="45">
        <v>7.1</v>
      </c>
      <c r="M24" s="45">
        <v>7.1</v>
      </c>
      <c r="N24" s="45">
        <v>7.1</v>
      </c>
      <c r="O24" s="45">
        <v>7.1</v>
      </c>
      <c r="P24" s="45">
        <v>7.1</v>
      </c>
      <c r="Q24" s="45">
        <v>7.1</v>
      </c>
      <c r="R24" s="45">
        <v>7.1</v>
      </c>
      <c r="S24" s="45">
        <v>7.1</v>
      </c>
      <c r="T24" s="45">
        <v>7.1</v>
      </c>
      <c r="U24" s="45">
        <v>7.1</v>
      </c>
      <c r="V24" s="45">
        <v>7.1</v>
      </c>
      <c r="W24" s="45">
        <v>7.1</v>
      </c>
      <c r="X24" s="45">
        <v>7.1</v>
      </c>
      <c r="Y24" s="45">
        <v>7.1</v>
      </c>
      <c r="Z24" s="45">
        <v>7.1</v>
      </c>
      <c r="AA24" s="45">
        <v>7.1</v>
      </c>
      <c r="AB24" s="45">
        <v>7.1</v>
      </c>
      <c r="AC24" s="45">
        <v>7.1</v>
      </c>
      <c r="AD24" s="45">
        <v>7.1</v>
      </c>
      <c r="AE24" s="45">
        <v>7.1</v>
      </c>
      <c r="AF24" s="45">
        <v>7.1</v>
      </c>
      <c r="AG24" s="50">
        <v>23.5</v>
      </c>
      <c r="AH24" s="47">
        <f t="shared" si="2"/>
        <v>7.1</v>
      </c>
      <c r="AI24" s="48">
        <f t="shared" si="3"/>
        <v>7.1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9.6</v>
      </c>
      <c r="C28" s="45">
        <v>9.6</v>
      </c>
      <c r="D28" s="45">
        <v>9.6</v>
      </c>
      <c r="E28" s="45">
        <v>9.6</v>
      </c>
      <c r="F28" s="45">
        <v>9.6</v>
      </c>
      <c r="G28" s="45">
        <v>9.6</v>
      </c>
      <c r="H28" s="45">
        <v>9.6</v>
      </c>
      <c r="I28" s="45">
        <v>9.6</v>
      </c>
      <c r="J28" s="45">
        <v>9.6</v>
      </c>
      <c r="K28" s="45">
        <v>9.6</v>
      </c>
      <c r="L28" s="45">
        <v>9.6</v>
      </c>
      <c r="M28" s="45">
        <v>9.6</v>
      </c>
      <c r="N28" s="45">
        <v>9.6</v>
      </c>
      <c r="O28" s="45">
        <v>9.6</v>
      </c>
      <c r="P28" s="45">
        <v>9.6</v>
      </c>
      <c r="Q28" s="45">
        <v>9.6</v>
      </c>
      <c r="R28" s="45">
        <v>9.6</v>
      </c>
      <c r="S28" s="45">
        <v>9.6</v>
      </c>
      <c r="T28" s="45">
        <v>9.6</v>
      </c>
      <c r="U28" s="45">
        <v>9.6</v>
      </c>
      <c r="V28" s="45">
        <v>9.6</v>
      </c>
      <c r="W28" s="45">
        <v>9.6</v>
      </c>
      <c r="X28" s="45">
        <v>9.6</v>
      </c>
      <c r="Y28" s="45">
        <v>0.3</v>
      </c>
      <c r="Z28" s="45">
        <v>0.3</v>
      </c>
      <c r="AA28" s="45">
        <v>0.3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9.6</v>
      </c>
      <c r="AI28" s="48">
        <f t="shared" si="3"/>
        <v>0.3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1.5</v>
      </c>
      <c r="T29" s="45">
        <v>1.5</v>
      </c>
      <c r="U29" s="45">
        <v>1.5</v>
      </c>
      <c r="V29" s="45">
        <v>1.5</v>
      </c>
      <c r="W29" s="45">
        <v>1.5</v>
      </c>
      <c r="X29" s="45">
        <v>1.5</v>
      </c>
      <c r="Y29" s="45">
        <v>1.5</v>
      </c>
      <c r="Z29" s="45">
        <v>1.5</v>
      </c>
      <c r="AA29" s="45">
        <v>1.5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367.79999999999995</v>
      </c>
      <c r="C44" s="60">
        <f t="shared" ref="C44:AG44" si="5">SUM(C11:C42)</f>
        <v>369</v>
      </c>
      <c r="D44" s="60">
        <f t="shared" ref="D44" si="6">SUM(D11:D42)</f>
        <v>368.1</v>
      </c>
      <c r="E44" s="60">
        <f t="shared" si="5"/>
        <v>368.1</v>
      </c>
      <c r="F44" s="60">
        <f t="shared" si="5"/>
        <v>368.1</v>
      </c>
      <c r="G44" s="60">
        <f t="shared" si="5"/>
        <v>368.1</v>
      </c>
      <c r="H44" s="60">
        <f t="shared" si="5"/>
        <v>368.1</v>
      </c>
      <c r="I44" s="60">
        <f t="shared" si="5"/>
        <v>368.1</v>
      </c>
      <c r="J44" s="60">
        <f t="shared" si="5"/>
        <v>368.1</v>
      </c>
      <c r="K44" s="60">
        <f t="shared" si="5"/>
        <v>368.1</v>
      </c>
      <c r="L44" s="60">
        <f t="shared" si="5"/>
        <v>368.1</v>
      </c>
      <c r="M44" s="60">
        <f t="shared" si="5"/>
        <v>368.1</v>
      </c>
      <c r="N44" s="60">
        <f t="shared" si="5"/>
        <v>368.1</v>
      </c>
      <c r="O44" s="60">
        <f t="shared" si="5"/>
        <v>368.1</v>
      </c>
      <c r="P44" s="60">
        <f t="shared" si="5"/>
        <v>363.1</v>
      </c>
      <c r="Q44" s="60">
        <f t="shared" si="5"/>
        <v>363.1</v>
      </c>
      <c r="R44" s="60">
        <f t="shared" si="5"/>
        <v>363.1</v>
      </c>
      <c r="S44" s="60">
        <f t="shared" si="5"/>
        <v>357.6</v>
      </c>
      <c r="T44" s="60">
        <f t="shared" si="5"/>
        <v>358.4</v>
      </c>
      <c r="U44" s="60">
        <f t="shared" si="5"/>
        <v>358.4</v>
      </c>
      <c r="V44" s="60">
        <f t="shared" si="5"/>
        <v>358.4</v>
      </c>
      <c r="W44" s="60">
        <f t="shared" si="5"/>
        <v>358.4</v>
      </c>
      <c r="X44" s="60">
        <f t="shared" si="5"/>
        <v>358.4</v>
      </c>
      <c r="Y44" s="60">
        <f t="shared" si="5"/>
        <v>348.9</v>
      </c>
      <c r="Z44" s="60">
        <f t="shared" si="5"/>
        <v>348.9</v>
      </c>
      <c r="AA44" s="60">
        <f t="shared" si="5"/>
        <v>348.9</v>
      </c>
      <c r="AB44" s="60">
        <f t="shared" si="5"/>
        <v>362.1</v>
      </c>
      <c r="AC44" s="60">
        <f t="shared" si="5"/>
        <v>362.1</v>
      </c>
      <c r="AD44" s="60">
        <f t="shared" si="5"/>
        <v>362.1</v>
      </c>
      <c r="AE44" s="60">
        <f t="shared" si="5"/>
        <v>362.1</v>
      </c>
      <c r="AF44" s="60">
        <f t="shared" si="5"/>
        <v>362.1</v>
      </c>
      <c r="AG44" s="61">
        <f t="shared" si="5"/>
        <v>814.78000000000009</v>
      </c>
      <c r="AH44" s="47">
        <f t="shared" si="2"/>
        <v>369</v>
      </c>
      <c r="AI44" s="48">
        <f t="shared" si="3"/>
        <v>348.9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20</v>
      </c>
      <c r="G45" s="45">
        <v>50</v>
      </c>
      <c r="H45" s="45">
        <v>50</v>
      </c>
      <c r="I45" s="45">
        <v>75</v>
      </c>
      <c r="J45" s="45">
        <v>180</v>
      </c>
      <c r="K45" s="45">
        <v>350</v>
      </c>
      <c r="L45" s="45">
        <v>400</v>
      </c>
      <c r="M45" s="63">
        <v>400</v>
      </c>
      <c r="N45" s="63">
        <v>300</v>
      </c>
      <c r="O45" s="45">
        <v>160</v>
      </c>
      <c r="P45" s="45">
        <v>0</v>
      </c>
      <c r="Q45" s="45">
        <v>20</v>
      </c>
      <c r="R45" s="45">
        <v>34</v>
      </c>
      <c r="S45" s="45">
        <v>55</v>
      </c>
      <c r="T45" s="45">
        <v>40</v>
      </c>
      <c r="U45" s="45">
        <v>50</v>
      </c>
      <c r="V45" s="45">
        <v>75</v>
      </c>
      <c r="W45" s="45">
        <v>157</v>
      </c>
      <c r="X45" s="45">
        <v>167.8</v>
      </c>
      <c r="Y45" s="45">
        <v>200</v>
      </c>
      <c r="Z45" s="45">
        <v>253.8</v>
      </c>
      <c r="AA45" s="45">
        <v>238.9</v>
      </c>
      <c r="AB45" s="45">
        <v>40</v>
      </c>
      <c r="AC45" s="45">
        <v>80</v>
      </c>
      <c r="AD45" s="45">
        <v>80</v>
      </c>
      <c r="AE45" s="45">
        <v>50</v>
      </c>
      <c r="AF45" s="45">
        <v>50</v>
      </c>
      <c r="AG45" s="51">
        <v>456</v>
      </c>
      <c r="AH45" s="47">
        <f t="shared" si="2"/>
        <v>400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11.3</v>
      </c>
      <c r="C47" s="67">
        <v>11.4</v>
      </c>
      <c r="D47" s="67">
        <v>11.4</v>
      </c>
      <c r="E47" s="67">
        <v>11.4</v>
      </c>
      <c r="F47" s="67">
        <v>12.1</v>
      </c>
      <c r="G47" s="67">
        <v>12.2</v>
      </c>
      <c r="H47" s="67">
        <v>12.2</v>
      </c>
      <c r="I47" s="67">
        <v>12.2</v>
      </c>
      <c r="J47" s="67">
        <v>12.2</v>
      </c>
      <c r="K47" s="67">
        <v>12.1</v>
      </c>
      <c r="L47" s="67">
        <v>12.2</v>
      </c>
      <c r="M47" s="67">
        <v>12.2</v>
      </c>
      <c r="N47" s="67">
        <v>12.2</v>
      </c>
      <c r="O47" s="67">
        <v>12.1</v>
      </c>
      <c r="P47" s="67">
        <v>12</v>
      </c>
      <c r="Q47" s="67">
        <v>12</v>
      </c>
      <c r="R47" s="67">
        <v>12</v>
      </c>
      <c r="S47" s="67">
        <v>12</v>
      </c>
      <c r="T47" s="67">
        <v>12</v>
      </c>
      <c r="U47" s="67">
        <v>12</v>
      </c>
      <c r="V47" s="67">
        <v>12</v>
      </c>
      <c r="W47" s="67">
        <v>12</v>
      </c>
      <c r="X47" s="67">
        <v>12</v>
      </c>
      <c r="Y47" s="67">
        <v>12</v>
      </c>
      <c r="Z47" s="67">
        <v>12</v>
      </c>
      <c r="AA47" s="67">
        <v>12</v>
      </c>
      <c r="AB47" s="67">
        <v>17.100000000000001</v>
      </c>
      <c r="AC47" s="67">
        <v>17.100000000000001</v>
      </c>
      <c r="AD47" s="67">
        <v>17.100000000000001</v>
      </c>
      <c r="AE47" s="67">
        <v>12</v>
      </c>
      <c r="AF47" s="67">
        <v>12</v>
      </c>
      <c r="AG47" s="68">
        <v>22.1</v>
      </c>
      <c r="AH47" s="47">
        <f t="shared" si="2"/>
        <v>17.100000000000001</v>
      </c>
      <c r="AI47" s="48">
        <f t="shared" si="3"/>
        <v>11.3</v>
      </c>
      <c r="AK47" s="49"/>
    </row>
    <row r="48" spans="1:88" ht="15.75" thickBot="1" x14ac:dyDescent="0.3">
      <c r="A48" s="69" t="s">
        <v>56</v>
      </c>
      <c r="B48" s="60">
        <f t="shared" ref="B48" si="7">SUM(B45:B47)</f>
        <v>39.299999999999997</v>
      </c>
      <c r="C48" s="60">
        <f t="shared" ref="C48:AG48" si="8">SUM(C45:C47)</f>
        <v>39.4</v>
      </c>
      <c r="D48" s="60">
        <f t="shared" ref="D48" si="9">SUM(D45:D47)</f>
        <v>39.4</v>
      </c>
      <c r="E48" s="60">
        <f t="shared" si="8"/>
        <v>39.4</v>
      </c>
      <c r="F48" s="60">
        <f t="shared" si="8"/>
        <v>60.1</v>
      </c>
      <c r="G48" s="60">
        <f t="shared" si="8"/>
        <v>90.2</v>
      </c>
      <c r="H48" s="60">
        <f t="shared" si="8"/>
        <v>90.2</v>
      </c>
      <c r="I48" s="60">
        <f t="shared" si="8"/>
        <v>115.2</v>
      </c>
      <c r="J48" s="60">
        <f t="shared" si="8"/>
        <v>220.2</v>
      </c>
      <c r="K48" s="60">
        <f t="shared" si="8"/>
        <v>390.1</v>
      </c>
      <c r="L48" s="60">
        <f t="shared" si="8"/>
        <v>440.2</v>
      </c>
      <c r="M48" s="60">
        <f t="shared" si="8"/>
        <v>440.2</v>
      </c>
      <c r="N48" s="60">
        <f t="shared" si="8"/>
        <v>340.2</v>
      </c>
      <c r="O48" s="60">
        <f t="shared" si="8"/>
        <v>200.1</v>
      </c>
      <c r="P48" s="60">
        <f t="shared" si="8"/>
        <v>40</v>
      </c>
      <c r="Q48" s="60">
        <f t="shared" si="8"/>
        <v>60</v>
      </c>
      <c r="R48" s="60">
        <f t="shared" si="8"/>
        <v>74</v>
      </c>
      <c r="S48" s="60">
        <f t="shared" si="8"/>
        <v>95</v>
      </c>
      <c r="T48" s="60">
        <f t="shared" si="8"/>
        <v>80</v>
      </c>
      <c r="U48" s="60">
        <f t="shared" si="8"/>
        <v>90</v>
      </c>
      <c r="V48" s="60">
        <f t="shared" si="8"/>
        <v>115</v>
      </c>
      <c r="W48" s="60">
        <f t="shared" si="8"/>
        <v>197</v>
      </c>
      <c r="X48" s="60">
        <f t="shared" si="8"/>
        <v>207.8</v>
      </c>
      <c r="Y48" s="60">
        <f t="shared" si="8"/>
        <v>240</v>
      </c>
      <c r="Z48" s="60">
        <f t="shared" si="8"/>
        <v>293.8</v>
      </c>
      <c r="AA48" s="60">
        <f t="shared" si="8"/>
        <v>278.89999999999998</v>
      </c>
      <c r="AB48" s="60">
        <f t="shared" si="8"/>
        <v>85.1</v>
      </c>
      <c r="AC48" s="60">
        <f t="shared" si="8"/>
        <v>125.1</v>
      </c>
      <c r="AD48" s="60">
        <f t="shared" si="8"/>
        <v>125.1</v>
      </c>
      <c r="AE48" s="60">
        <f t="shared" si="8"/>
        <v>90</v>
      </c>
      <c r="AF48" s="60">
        <f t="shared" si="8"/>
        <v>90</v>
      </c>
      <c r="AG48" s="61">
        <f t="shared" si="8"/>
        <v>538.1</v>
      </c>
      <c r="AH48" s="47">
        <f t="shared" si="2"/>
        <v>440.2</v>
      </c>
      <c r="AI48" s="48">
        <f t="shared" si="3"/>
        <v>39.299999999999997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20.3</v>
      </c>
      <c r="I49" s="45">
        <v>45</v>
      </c>
      <c r="J49" s="45">
        <v>71</v>
      </c>
      <c r="K49" s="45">
        <v>81</v>
      </c>
      <c r="L49" s="45">
        <v>127.3</v>
      </c>
      <c r="M49" s="45">
        <v>134.9</v>
      </c>
      <c r="N49" s="45">
        <v>112</v>
      </c>
      <c r="O49" s="45">
        <v>92</v>
      </c>
      <c r="P49" s="45">
        <v>96.1</v>
      </c>
      <c r="Q49" s="45">
        <v>72.400000000000006</v>
      </c>
      <c r="R49" s="45">
        <v>86</v>
      </c>
      <c r="S49" s="45">
        <v>117.7</v>
      </c>
      <c r="T49" s="45">
        <v>127</v>
      </c>
      <c r="U49" s="45">
        <v>116.8</v>
      </c>
      <c r="V49" s="45">
        <v>106</v>
      </c>
      <c r="W49" s="45">
        <v>121.6</v>
      </c>
      <c r="X49" s="45">
        <v>121.8</v>
      </c>
      <c r="Y49" s="45">
        <v>139.5</v>
      </c>
      <c r="Z49" s="45">
        <v>137.9</v>
      </c>
      <c r="AA49" s="45">
        <v>137.9</v>
      </c>
      <c r="AB49" s="45">
        <v>101.1</v>
      </c>
      <c r="AC49" s="45">
        <v>66.5</v>
      </c>
      <c r="AD49" s="45">
        <v>57</v>
      </c>
      <c r="AE49" s="45">
        <v>35.5</v>
      </c>
      <c r="AF49" s="45">
        <v>0</v>
      </c>
      <c r="AG49" s="51">
        <v>144</v>
      </c>
      <c r="AH49" s="47">
        <f t="shared" si="2"/>
        <v>139.5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21</v>
      </c>
      <c r="I50" s="65">
        <v>34.799999999999997</v>
      </c>
      <c r="J50" s="65">
        <v>34.799999999999997</v>
      </c>
      <c r="K50" s="65">
        <v>59.7</v>
      </c>
      <c r="L50" s="65">
        <v>69.900000000000006</v>
      </c>
      <c r="M50" s="65">
        <v>68.400000000000006</v>
      </c>
      <c r="N50" s="65">
        <v>54.3</v>
      </c>
      <c r="O50" s="65">
        <v>53.2</v>
      </c>
      <c r="P50" s="65">
        <v>48.5</v>
      </c>
      <c r="Q50" s="65">
        <v>42</v>
      </c>
      <c r="R50" s="65">
        <v>30</v>
      </c>
      <c r="S50" s="45">
        <v>34.700000000000003</v>
      </c>
      <c r="T50" s="45">
        <v>34.700000000000003</v>
      </c>
      <c r="U50" s="45">
        <v>35</v>
      </c>
      <c r="V50" s="45">
        <v>34</v>
      </c>
      <c r="W50" s="45">
        <v>33.6</v>
      </c>
      <c r="X50" s="45">
        <v>48.3</v>
      </c>
      <c r="Y50" s="45">
        <v>60.4</v>
      </c>
      <c r="Z50" s="45">
        <v>60.5</v>
      </c>
      <c r="AA50" s="45">
        <v>61.6</v>
      </c>
      <c r="AB50" s="65">
        <v>42.6</v>
      </c>
      <c r="AC50" s="65">
        <v>30.1</v>
      </c>
      <c r="AD50" s="65">
        <v>24.9</v>
      </c>
      <c r="AE50" s="65">
        <v>0</v>
      </c>
      <c r="AF50" s="65">
        <v>0</v>
      </c>
      <c r="AG50" s="54">
        <v>70</v>
      </c>
      <c r="AH50" s="47">
        <f t="shared" si="2"/>
        <v>69.900000000000006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18.3</v>
      </c>
      <c r="F51" s="65">
        <v>17.899999999999999</v>
      </c>
      <c r="G51" s="65">
        <v>36.5</v>
      </c>
      <c r="H51" s="65">
        <v>46</v>
      </c>
      <c r="I51" s="65">
        <v>46</v>
      </c>
      <c r="J51" s="65">
        <v>69.7</v>
      </c>
      <c r="K51" s="65">
        <v>69.8</v>
      </c>
      <c r="L51" s="65">
        <v>68.8</v>
      </c>
      <c r="M51" s="65">
        <v>68.3</v>
      </c>
      <c r="N51" s="65">
        <v>44.3</v>
      </c>
      <c r="O51" s="65">
        <v>47</v>
      </c>
      <c r="P51" s="65">
        <v>46.6</v>
      </c>
      <c r="Q51" s="65">
        <v>32</v>
      </c>
      <c r="R51" s="65">
        <v>24</v>
      </c>
      <c r="S51" s="45">
        <v>23.3</v>
      </c>
      <c r="T51" s="45">
        <v>23.4</v>
      </c>
      <c r="U51" s="45">
        <v>34.200000000000003</v>
      </c>
      <c r="V51" s="45">
        <v>46</v>
      </c>
      <c r="W51" s="45">
        <v>33.9</v>
      </c>
      <c r="X51" s="45">
        <v>65.599999999999994</v>
      </c>
      <c r="Y51" s="45">
        <v>69</v>
      </c>
      <c r="Z51" s="45">
        <v>66.400000000000006</v>
      </c>
      <c r="AA51" s="45">
        <v>68.900000000000006</v>
      </c>
      <c r="AB51" s="65">
        <v>52.4</v>
      </c>
      <c r="AC51" s="65">
        <v>61.2</v>
      </c>
      <c r="AD51" s="65">
        <v>51.3</v>
      </c>
      <c r="AE51" s="65">
        <v>33.9</v>
      </c>
      <c r="AF51" s="65">
        <v>0</v>
      </c>
      <c r="AG51" s="54">
        <v>69</v>
      </c>
      <c r="AH51" s="47">
        <f t="shared" si="2"/>
        <v>69.8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46.4</v>
      </c>
      <c r="C52" s="56">
        <v>44.3</v>
      </c>
      <c r="D52" s="56">
        <v>44.3</v>
      </c>
      <c r="E52" s="56">
        <v>44.3</v>
      </c>
      <c r="F52" s="56">
        <v>44.3</v>
      </c>
      <c r="G52" s="56">
        <v>44.3</v>
      </c>
      <c r="H52" s="56">
        <v>44.3</v>
      </c>
      <c r="I52" s="56">
        <v>44.3</v>
      </c>
      <c r="J52" s="56">
        <v>44.3</v>
      </c>
      <c r="K52" s="56">
        <v>44.3</v>
      </c>
      <c r="L52" s="56">
        <v>44.3</v>
      </c>
      <c r="M52" s="56">
        <v>44.3</v>
      </c>
      <c r="N52" s="56">
        <v>44.3</v>
      </c>
      <c r="O52" s="56">
        <v>44.3</v>
      </c>
      <c r="P52" s="65">
        <v>44.1</v>
      </c>
      <c r="Q52" s="65">
        <v>44.1</v>
      </c>
      <c r="R52" s="65">
        <v>44.1</v>
      </c>
      <c r="S52" s="45">
        <v>44.3</v>
      </c>
      <c r="T52" s="45">
        <v>44.3</v>
      </c>
      <c r="U52" s="45">
        <v>44.3</v>
      </c>
      <c r="V52" s="45">
        <v>44.3</v>
      </c>
      <c r="W52" s="65">
        <v>42.1</v>
      </c>
      <c r="X52" s="65">
        <v>42.1</v>
      </c>
      <c r="Y52" s="65">
        <v>42.1</v>
      </c>
      <c r="Z52" s="65">
        <v>42.1</v>
      </c>
      <c r="AA52" s="65">
        <v>42.1</v>
      </c>
      <c r="AB52" s="65">
        <v>42.1</v>
      </c>
      <c r="AC52" s="65">
        <v>42</v>
      </c>
      <c r="AD52" s="65">
        <v>42</v>
      </c>
      <c r="AE52" s="65">
        <v>42</v>
      </c>
      <c r="AF52" s="65">
        <v>47.1</v>
      </c>
      <c r="AG52" s="54">
        <v>60</v>
      </c>
      <c r="AH52" s="47">
        <f t="shared" si="2"/>
        <v>47.1</v>
      </c>
      <c r="AI52" s="48">
        <f t="shared" si="3"/>
        <v>42</v>
      </c>
      <c r="AK52" s="49"/>
    </row>
    <row r="53" spans="1:41" x14ac:dyDescent="0.25">
      <c r="A53" s="53" t="s">
        <v>61</v>
      </c>
      <c r="B53" s="65">
        <v>0</v>
      </c>
      <c r="C53" s="56">
        <v>13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15</v>
      </c>
      <c r="K53" s="56">
        <v>15</v>
      </c>
      <c r="L53" s="56">
        <v>15</v>
      </c>
      <c r="M53" s="56">
        <v>15</v>
      </c>
      <c r="N53" s="56">
        <v>15</v>
      </c>
      <c r="O53" s="56">
        <v>15</v>
      </c>
      <c r="P53" s="65">
        <v>25</v>
      </c>
      <c r="Q53" s="65">
        <v>25</v>
      </c>
      <c r="R53" s="65">
        <v>25</v>
      </c>
      <c r="S53" s="45">
        <v>15</v>
      </c>
      <c r="T53" s="45">
        <v>15</v>
      </c>
      <c r="U53" s="45">
        <v>0</v>
      </c>
      <c r="V53" s="45">
        <v>0</v>
      </c>
      <c r="W53" s="45">
        <v>0</v>
      </c>
      <c r="X53" s="65">
        <v>15.1</v>
      </c>
      <c r="Y53" s="65">
        <v>25</v>
      </c>
      <c r="Z53" s="65">
        <v>25</v>
      </c>
      <c r="AA53" s="65">
        <v>25</v>
      </c>
      <c r="AB53" s="65">
        <v>15</v>
      </c>
      <c r="AC53" s="65">
        <v>14.6</v>
      </c>
      <c r="AD53" s="65">
        <v>14.6</v>
      </c>
      <c r="AE53" s="65">
        <v>14.6</v>
      </c>
      <c r="AF53" s="65">
        <v>0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65">
        <v>8</v>
      </c>
      <c r="O54" s="65">
        <v>8</v>
      </c>
      <c r="P54" s="65">
        <v>8</v>
      </c>
      <c r="Q54" s="65">
        <v>8</v>
      </c>
      <c r="R54" s="65">
        <v>8</v>
      </c>
      <c r="S54" s="65">
        <v>8</v>
      </c>
      <c r="T54" s="65">
        <v>8</v>
      </c>
      <c r="U54" s="65">
        <v>8</v>
      </c>
      <c r="V54" s="65">
        <v>8</v>
      </c>
      <c r="W54" s="65">
        <v>8</v>
      </c>
      <c r="X54" s="65">
        <v>8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12.9</v>
      </c>
      <c r="C55" s="65">
        <v>12.9</v>
      </c>
      <c r="D55" s="65">
        <v>12.9</v>
      </c>
      <c r="E55" s="65">
        <v>12.9</v>
      </c>
      <c r="F55" s="65">
        <v>12.9</v>
      </c>
      <c r="G55" s="65">
        <v>12.9</v>
      </c>
      <c r="H55" s="65">
        <v>12.9</v>
      </c>
      <c r="I55" s="65">
        <v>12.9</v>
      </c>
      <c r="J55" s="65">
        <v>12.9</v>
      </c>
      <c r="K55" s="65">
        <v>12.9</v>
      </c>
      <c r="L55" s="65">
        <v>12.9</v>
      </c>
      <c r="M55" s="65">
        <v>12.9</v>
      </c>
      <c r="N55" s="65">
        <v>12.9</v>
      </c>
      <c r="O55" s="65">
        <v>12.9</v>
      </c>
      <c r="P55" s="65">
        <v>12.9</v>
      </c>
      <c r="Q55" s="65">
        <v>12.9</v>
      </c>
      <c r="R55" s="65">
        <v>12.9</v>
      </c>
      <c r="S55" s="65">
        <v>12.9</v>
      </c>
      <c r="T55" s="65">
        <v>12.9</v>
      </c>
      <c r="U55" s="65">
        <v>12.9</v>
      </c>
      <c r="V55" s="65">
        <v>12.9</v>
      </c>
      <c r="W55" s="65">
        <v>12.9</v>
      </c>
      <c r="X55" s="65">
        <v>12.9</v>
      </c>
      <c r="Y55" s="65">
        <v>12.9</v>
      </c>
      <c r="Z55" s="65">
        <v>12.9</v>
      </c>
      <c r="AA55" s="65">
        <v>12.9</v>
      </c>
      <c r="AB55" s="65">
        <v>12.9</v>
      </c>
      <c r="AC55" s="65">
        <v>12.9</v>
      </c>
      <c r="AD55" s="65">
        <v>12.9</v>
      </c>
      <c r="AE55" s="65">
        <v>12.9</v>
      </c>
      <c r="AF55" s="65">
        <v>12.9</v>
      </c>
      <c r="AG55" s="54">
        <v>24</v>
      </c>
      <c r="AH55" s="47">
        <f t="shared" si="2"/>
        <v>12.9</v>
      </c>
      <c r="AI55" s="48">
        <f t="shared" si="3"/>
        <v>12.9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9.8000000000000007</v>
      </c>
      <c r="C57" s="65">
        <v>9.8000000000000007</v>
      </c>
      <c r="D57" s="65">
        <v>9.8000000000000007</v>
      </c>
      <c r="E57" s="65">
        <v>9.8000000000000007</v>
      </c>
      <c r="F57" s="65">
        <v>9.8000000000000007</v>
      </c>
      <c r="G57" s="65">
        <v>9.8000000000000007</v>
      </c>
      <c r="H57" s="65">
        <v>9.8000000000000007</v>
      </c>
      <c r="I57" s="65">
        <v>9.8000000000000007</v>
      </c>
      <c r="J57" s="65">
        <v>9.8000000000000007</v>
      </c>
      <c r="K57" s="65">
        <v>9.8000000000000007</v>
      </c>
      <c r="L57" s="65">
        <v>9.8000000000000007</v>
      </c>
      <c r="M57" s="65">
        <v>9.8000000000000007</v>
      </c>
      <c r="N57" s="65">
        <v>9.8000000000000007</v>
      </c>
      <c r="O57" s="65">
        <v>9.8000000000000007</v>
      </c>
      <c r="P57" s="65">
        <v>9.8000000000000007</v>
      </c>
      <c r="Q57" s="65">
        <v>9.8000000000000007</v>
      </c>
      <c r="R57" s="65">
        <v>9.8000000000000007</v>
      </c>
      <c r="S57" s="65">
        <v>9.8000000000000007</v>
      </c>
      <c r="T57" s="65">
        <v>9.8000000000000007</v>
      </c>
      <c r="U57" s="65">
        <v>9.8000000000000007</v>
      </c>
      <c r="V57" s="65">
        <v>9.8000000000000007</v>
      </c>
      <c r="W57" s="65">
        <v>9.8000000000000007</v>
      </c>
      <c r="X57" s="65">
        <v>9.8000000000000007</v>
      </c>
      <c r="Y57" s="65">
        <v>9.8000000000000007</v>
      </c>
      <c r="Z57" s="65">
        <v>9.8000000000000007</v>
      </c>
      <c r="AA57" s="65">
        <v>9.8000000000000007</v>
      </c>
      <c r="AB57" s="65">
        <v>9.8000000000000007</v>
      </c>
      <c r="AC57" s="65">
        <v>9.8000000000000007</v>
      </c>
      <c r="AD57" s="65">
        <v>9.8000000000000007</v>
      </c>
      <c r="AE57" s="65">
        <v>9.8000000000000007</v>
      </c>
      <c r="AF57" s="65">
        <v>9.8000000000000007</v>
      </c>
      <c r="AG57" s="54">
        <v>14.1</v>
      </c>
      <c r="AH57" s="47">
        <f t="shared" si="2"/>
        <v>9.8000000000000007</v>
      </c>
      <c r="AI57" s="48">
        <f t="shared" si="3"/>
        <v>9.8000000000000007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" si="10">SUM(B49:B61)</f>
        <v>88.240000000000009</v>
      </c>
      <c r="C62" s="60">
        <f t="shared" ref="C62:AG62" si="11">SUM(C49:C61)</f>
        <v>99.140000000000015</v>
      </c>
      <c r="D62" s="60">
        <f t="shared" ref="D62" si="12">SUM(D49:D61)</f>
        <v>86.140000000000015</v>
      </c>
      <c r="E62" s="60">
        <f t="shared" si="11"/>
        <v>104.44000000000001</v>
      </c>
      <c r="F62" s="60">
        <f t="shared" si="11"/>
        <v>104.04</v>
      </c>
      <c r="G62" s="60">
        <f t="shared" si="11"/>
        <v>122.64000000000001</v>
      </c>
      <c r="H62" s="60">
        <f t="shared" si="11"/>
        <v>173.43999999999997</v>
      </c>
      <c r="I62" s="60">
        <f t="shared" si="11"/>
        <v>211.93999999999997</v>
      </c>
      <c r="J62" s="60">
        <f t="shared" si="11"/>
        <v>276.64</v>
      </c>
      <c r="K62" s="60">
        <f t="shared" si="11"/>
        <v>311.64</v>
      </c>
      <c r="L62" s="60">
        <f t="shared" si="11"/>
        <v>367.14</v>
      </c>
      <c r="M62" s="60">
        <f t="shared" si="11"/>
        <v>372.74</v>
      </c>
      <c r="N62" s="60">
        <f t="shared" si="11"/>
        <v>319.74</v>
      </c>
      <c r="O62" s="60">
        <f t="shared" si="11"/>
        <v>301.33999999999997</v>
      </c>
      <c r="P62" s="60">
        <f t="shared" si="11"/>
        <v>310.13999999999993</v>
      </c>
      <c r="Q62" s="60">
        <f t="shared" si="11"/>
        <v>265.34000000000003</v>
      </c>
      <c r="R62" s="60">
        <f t="shared" si="11"/>
        <v>258.94</v>
      </c>
      <c r="S62" s="60">
        <f t="shared" si="11"/>
        <v>284.84000000000003</v>
      </c>
      <c r="T62" s="60">
        <f t="shared" si="11"/>
        <v>294.23999999999995</v>
      </c>
      <c r="U62" s="60">
        <f t="shared" si="11"/>
        <v>280.14</v>
      </c>
      <c r="V62" s="60">
        <f t="shared" si="11"/>
        <v>280.14</v>
      </c>
      <c r="W62" s="60">
        <f t="shared" si="11"/>
        <v>281.03999999999996</v>
      </c>
      <c r="X62" s="60">
        <f t="shared" si="11"/>
        <v>342.74</v>
      </c>
      <c r="Y62" s="60">
        <f t="shared" si="11"/>
        <v>377.84</v>
      </c>
      <c r="Z62" s="60">
        <f t="shared" si="11"/>
        <v>373.74</v>
      </c>
      <c r="AA62" s="60">
        <f t="shared" si="11"/>
        <v>377.34</v>
      </c>
      <c r="AB62" s="60">
        <f t="shared" si="11"/>
        <v>295.03999999999996</v>
      </c>
      <c r="AC62" s="60">
        <f t="shared" si="11"/>
        <v>256.24</v>
      </c>
      <c r="AD62" s="60">
        <f t="shared" si="11"/>
        <v>231.63999999999996</v>
      </c>
      <c r="AE62" s="60">
        <f t="shared" si="11"/>
        <v>167.83999999999997</v>
      </c>
      <c r="AF62" s="60">
        <f t="shared" si="11"/>
        <v>88.940000000000012</v>
      </c>
      <c r="AG62" s="61">
        <f t="shared" si="11"/>
        <v>489.91</v>
      </c>
      <c r="AH62" s="47">
        <f t="shared" si="2"/>
        <v>377.84</v>
      </c>
      <c r="AI62" s="48">
        <f t="shared" si="3"/>
        <v>86.140000000000015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30</v>
      </c>
      <c r="W63" s="45">
        <v>20</v>
      </c>
      <c r="X63" s="45">
        <v>22</v>
      </c>
      <c r="Y63" s="45">
        <v>45</v>
      </c>
      <c r="Z63" s="45">
        <v>30</v>
      </c>
      <c r="AA63" s="45">
        <v>14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45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14.4</v>
      </c>
      <c r="W64" s="65">
        <v>9.1</v>
      </c>
      <c r="X64" s="65">
        <v>11.2</v>
      </c>
      <c r="Y64" s="65">
        <v>18</v>
      </c>
      <c r="Z64" s="65">
        <v>12.9</v>
      </c>
      <c r="AA64" s="65">
        <v>15.1</v>
      </c>
      <c r="AB64" s="65">
        <v>0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18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6.3</v>
      </c>
      <c r="W65" s="67">
        <v>3.3</v>
      </c>
      <c r="X65" s="67">
        <v>4.0999999999999996</v>
      </c>
      <c r="Y65" s="67">
        <v>6.6</v>
      </c>
      <c r="Z65" s="67">
        <v>4.7</v>
      </c>
      <c r="AA65" s="67">
        <v>5.5</v>
      </c>
      <c r="AB65" s="67">
        <v>0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6.6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" si="13"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14">M63+M64+M65</f>
        <v>0</v>
      </c>
      <c r="N66" s="60">
        <f t="shared" si="14"/>
        <v>0</v>
      </c>
      <c r="O66" s="60">
        <f t="shared" si="14"/>
        <v>0</v>
      </c>
      <c r="P66" s="60">
        <f t="shared" si="14"/>
        <v>0</v>
      </c>
      <c r="Q66" s="60">
        <f t="shared" si="14"/>
        <v>0</v>
      </c>
      <c r="R66" s="60">
        <f t="shared" si="14"/>
        <v>0</v>
      </c>
      <c r="S66" s="60">
        <f t="shared" si="14"/>
        <v>0</v>
      </c>
      <c r="T66" s="60">
        <f t="shared" si="14"/>
        <v>0</v>
      </c>
      <c r="U66" s="60">
        <f t="shared" si="14"/>
        <v>0</v>
      </c>
      <c r="V66" s="60">
        <f t="shared" si="14"/>
        <v>50.699999999999996</v>
      </c>
      <c r="W66" s="60">
        <f t="shared" si="14"/>
        <v>32.4</v>
      </c>
      <c r="X66" s="60">
        <f t="shared" si="14"/>
        <v>37.300000000000004</v>
      </c>
      <c r="Y66" s="60">
        <f t="shared" si="14"/>
        <v>69.599999999999994</v>
      </c>
      <c r="Z66" s="60">
        <f t="shared" si="14"/>
        <v>47.6</v>
      </c>
      <c r="AA66" s="60">
        <f t="shared" si="14"/>
        <v>34.6</v>
      </c>
      <c r="AB66" s="60">
        <f t="shared" si="14"/>
        <v>0</v>
      </c>
      <c r="AC66" s="60">
        <f t="shared" si="14"/>
        <v>0</v>
      </c>
      <c r="AD66" s="60">
        <f t="shared" si="14"/>
        <v>0</v>
      </c>
      <c r="AE66" s="60">
        <f t="shared" si="14"/>
        <v>0</v>
      </c>
      <c r="AF66" s="60">
        <f t="shared" si="14"/>
        <v>0</v>
      </c>
      <c r="AG66" s="61">
        <f>SUM(AG63:AG65)</f>
        <v>106</v>
      </c>
      <c r="AH66" s="47">
        <f t="shared" si="2"/>
        <v>69.599999999999994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317.39999999999998</v>
      </c>
      <c r="C69" s="65">
        <v>307</v>
      </c>
      <c r="D69" s="65">
        <v>295.60000000000002</v>
      </c>
      <c r="E69" s="65">
        <v>319.60000000000002</v>
      </c>
      <c r="F69" s="65">
        <v>300</v>
      </c>
      <c r="G69" s="65">
        <v>319</v>
      </c>
      <c r="H69" s="65">
        <v>335.2</v>
      </c>
      <c r="I69" s="65">
        <v>317</v>
      </c>
      <c r="J69" s="65">
        <v>215</v>
      </c>
      <c r="K69" s="65">
        <v>75</v>
      </c>
      <c r="L69" s="65">
        <v>20.7</v>
      </c>
      <c r="M69" s="65">
        <v>7.5</v>
      </c>
      <c r="N69" s="65">
        <v>7.5</v>
      </c>
      <c r="O69" s="65">
        <v>172</v>
      </c>
      <c r="P69" s="65">
        <v>302.7</v>
      </c>
      <c r="Q69" s="65">
        <v>342</v>
      </c>
      <c r="R69" s="65">
        <v>353</v>
      </c>
      <c r="S69" s="65">
        <v>335</v>
      </c>
      <c r="T69" s="65">
        <v>340</v>
      </c>
      <c r="U69" s="65">
        <v>337</v>
      </c>
      <c r="V69" s="65">
        <v>336</v>
      </c>
      <c r="W69" s="65">
        <v>223.1</v>
      </c>
      <c r="X69" s="65">
        <v>179.9</v>
      </c>
      <c r="Y69" s="65">
        <v>239.9</v>
      </c>
      <c r="Z69" s="65">
        <v>247.7</v>
      </c>
      <c r="AA69" s="65">
        <v>132.30000000000001</v>
      </c>
      <c r="AB69" s="65">
        <v>349</v>
      </c>
      <c r="AC69" s="65">
        <v>342</v>
      </c>
      <c r="AD69" s="65">
        <v>310.39999999999998</v>
      </c>
      <c r="AE69" s="65">
        <v>319.10000000000002</v>
      </c>
      <c r="AF69" s="65">
        <v>308.3</v>
      </c>
      <c r="AG69" s="75"/>
      <c r="AH69" s="47">
        <f t="shared" si="2"/>
        <v>353</v>
      </c>
      <c r="AI69" s="48">
        <f t="shared" si="3"/>
        <v>7.5</v>
      </c>
      <c r="AK69" s="49"/>
    </row>
    <row r="70" spans="1:40" x14ac:dyDescent="0.25">
      <c r="A70" s="53" t="s">
        <v>78</v>
      </c>
      <c r="B70" s="65">
        <v>58.5</v>
      </c>
      <c r="C70" s="65">
        <v>56.8</v>
      </c>
      <c r="D70" s="65">
        <v>57.9</v>
      </c>
      <c r="E70" s="76">
        <v>57.1</v>
      </c>
      <c r="F70" s="76">
        <v>54</v>
      </c>
      <c r="G70" s="76">
        <v>53.9</v>
      </c>
      <c r="H70" s="76">
        <v>63.4</v>
      </c>
      <c r="I70" s="76">
        <v>68.8</v>
      </c>
      <c r="J70" s="76">
        <v>71.2</v>
      </c>
      <c r="K70" s="76">
        <v>64.400000000000006</v>
      </c>
      <c r="L70" s="76">
        <v>59.9</v>
      </c>
      <c r="M70" s="76">
        <v>63.2</v>
      </c>
      <c r="N70" s="76">
        <v>65.5</v>
      </c>
      <c r="O70" s="76">
        <v>68</v>
      </c>
      <c r="P70" s="76">
        <v>68.2</v>
      </c>
      <c r="Q70" s="76">
        <v>68.2</v>
      </c>
      <c r="R70" s="76">
        <v>67.599999999999994</v>
      </c>
      <c r="S70" s="76">
        <v>63.6</v>
      </c>
      <c r="T70" s="76">
        <v>61</v>
      </c>
      <c r="U70" s="76">
        <v>63.7</v>
      </c>
      <c r="V70" s="76">
        <v>56</v>
      </c>
      <c r="W70" s="76">
        <v>53.6</v>
      </c>
      <c r="X70" s="65">
        <v>55.7</v>
      </c>
      <c r="Y70" s="65">
        <v>61.9</v>
      </c>
      <c r="Z70" s="65">
        <v>54.8</v>
      </c>
      <c r="AA70" s="65">
        <v>54.8</v>
      </c>
      <c r="AB70" s="65">
        <v>51.3</v>
      </c>
      <c r="AC70" s="65">
        <v>51</v>
      </c>
      <c r="AD70" s="65">
        <v>49.4</v>
      </c>
      <c r="AE70" s="65">
        <v>45.3</v>
      </c>
      <c r="AF70" s="65">
        <v>49.1</v>
      </c>
      <c r="AG70" s="75"/>
      <c r="AH70" s="47">
        <f t="shared" si="2"/>
        <v>71.2</v>
      </c>
      <c r="AI70" s="48">
        <f t="shared" si="3"/>
        <v>45.3</v>
      </c>
      <c r="AK70" s="49"/>
    </row>
    <row r="71" spans="1:40" x14ac:dyDescent="0.25">
      <c r="A71" s="53" t="s">
        <v>79</v>
      </c>
      <c r="B71" s="45">
        <v>71.8</v>
      </c>
      <c r="C71" s="45">
        <v>68.900000000000006</v>
      </c>
      <c r="D71" s="45">
        <v>70.8</v>
      </c>
      <c r="E71" s="45">
        <v>0</v>
      </c>
      <c r="F71" s="45">
        <v>0</v>
      </c>
      <c r="G71" s="45">
        <v>0</v>
      </c>
      <c r="H71" s="45">
        <v>0</v>
      </c>
      <c r="I71" s="45">
        <v>45</v>
      </c>
      <c r="J71" s="45">
        <v>50</v>
      </c>
      <c r="K71" s="45">
        <v>70</v>
      </c>
      <c r="L71" s="45">
        <v>70</v>
      </c>
      <c r="M71" s="45">
        <v>65</v>
      </c>
      <c r="N71" s="45">
        <v>86</v>
      </c>
      <c r="O71" s="45">
        <v>86</v>
      </c>
      <c r="P71" s="45">
        <v>83</v>
      </c>
      <c r="Q71" s="45">
        <v>0</v>
      </c>
      <c r="R71" s="45">
        <v>55</v>
      </c>
      <c r="S71" s="45">
        <v>63</v>
      </c>
      <c r="T71" s="45">
        <v>80</v>
      </c>
      <c r="U71" s="45">
        <v>86</v>
      </c>
      <c r="V71" s="45">
        <v>80</v>
      </c>
      <c r="W71" s="45">
        <v>82.2</v>
      </c>
      <c r="X71" s="45">
        <v>84</v>
      </c>
      <c r="Y71" s="45">
        <v>76</v>
      </c>
      <c r="Z71" s="45">
        <v>78.2</v>
      </c>
      <c r="AA71" s="45">
        <v>76.2</v>
      </c>
      <c r="AB71" s="45">
        <v>70</v>
      </c>
      <c r="AC71" s="45">
        <v>68</v>
      </c>
      <c r="AD71" s="45">
        <v>78</v>
      </c>
      <c r="AE71" s="45">
        <v>79</v>
      </c>
      <c r="AF71" s="45">
        <v>70</v>
      </c>
      <c r="AG71" s="75"/>
      <c r="AH71" s="47">
        <f t="shared" si="2"/>
        <v>86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/>
      <c r="Z73" s="77"/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/>
      <c r="Z74" s="77"/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/>
      <c r="Z75" s="77"/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5">MAX(B75:AF75)</f>
        <v>0</v>
      </c>
      <c r="AI75" s="48">
        <f t="shared" ref="AI75:AI113" si="16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/>
      <c r="Z76" s="77"/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5"/>
        <v>0</v>
      </c>
      <c r="AI76" s="48">
        <f t="shared" si="16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/>
      <c r="Z77" s="77"/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5"/>
        <v>0</v>
      </c>
      <c r="AI77" s="48">
        <f t="shared" si="16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" si="17">SUMIF(B67:B77,"&gt;0")</f>
        <v>452.7</v>
      </c>
      <c r="C78" s="60">
        <f t="shared" ref="C78:AF78" si="18">SUMIF(C67:C77,"&gt;0")</f>
        <v>437.70000000000005</v>
      </c>
      <c r="D78" s="60">
        <f t="shared" ref="D78:E78" si="19">SUMIF(D67:D77,"&gt;0")</f>
        <v>429.3</v>
      </c>
      <c r="E78" s="60">
        <f t="shared" si="19"/>
        <v>381.70000000000005</v>
      </c>
      <c r="F78" s="60">
        <f t="shared" si="18"/>
        <v>359</v>
      </c>
      <c r="G78" s="60">
        <f t="shared" si="18"/>
        <v>377.9</v>
      </c>
      <c r="H78" s="60">
        <f t="shared" si="18"/>
        <v>403.59999999999997</v>
      </c>
      <c r="I78" s="60">
        <f t="shared" si="18"/>
        <v>435.8</v>
      </c>
      <c r="J78" s="60">
        <f t="shared" si="18"/>
        <v>341.2</v>
      </c>
      <c r="K78" s="60">
        <f t="shared" si="18"/>
        <v>214.4</v>
      </c>
      <c r="L78" s="60">
        <f t="shared" si="18"/>
        <v>155.6</v>
      </c>
      <c r="M78" s="60">
        <f t="shared" si="18"/>
        <v>140.69999999999999</v>
      </c>
      <c r="N78" s="60">
        <f t="shared" si="18"/>
        <v>164</v>
      </c>
      <c r="O78" s="60">
        <f t="shared" si="18"/>
        <v>331</v>
      </c>
      <c r="P78" s="60">
        <f t="shared" si="18"/>
        <v>458.9</v>
      </c>
      <c r="Q78" s="60">
        <f t="shared" si="18"/>
        <v>415.2</v>
      </c>
      <c r="R78" s="60">
        <f t="shared" si="18"/>
        <v>480.6</v>
      </c>
      <c r="S78" s="60">
        <f t="shared" si="18"/>
        <v>466.6</v>
      </c>
      <c r="T78" s="60">
        <f t="shared" si="18"/>
        <v>486</v>
      </c>
      <c r="U78" s="60">
        <f t="shared" si="18"/>
        <v>491.7</v>
      </c>
      <c r="V78" s="60">
        <f t="shared" si="18"/>
        <v>477</v>
      </c>
      <c r="W78" s="60">
        <f t="shared" si="18"/>
        <v>363.9</v>
      </c>
      <c r="X78" s="60">
        <f t="shared" si="18"/>
        <v>324.60000000000002</v>
      </c>
      <c r="Y78" s="60">
        <f t="shared" si="18"/>
        <v>382.8</v>
      </c>
      <c r="Z78" s="60">
        <f t="shared" si="18"/>
        <v>385.7</v>
      </c>
      <c r="AA78" s="60">
        <f t="shared" si="18"/>
        <v>268.3</v>
      </c>
      <c r="AB78" s="60">
        <f t="shared" si="18"/>
        <v>475.3</v>
      </c>
      <c r="AC78" s="60">
        <f t="shared" si="18"/>
        <v>466</v>
      </c>
      <c r="AD78" s="60">
        <f t="shared" si="18"/>
        <v>442.79999999999995</v>
      </c>
      <c r="AE78" s="60">
        <f t="shared" si="18"/>
        <v>448.40000000000003</v>
      </c>
      <c r="AF78" s="60">
        <f t="shared" si="18"/>
        <v>432.40000000000003</v>
      </c>
      <c r="AG78" s="88">
        <f>SUM(AG67:AG77)</f>
        <v>0</v>
      </c>
      <c r="AH78" s="47">
        <f t="shared" si="15"/>
        <v>491.7</v>
      </c>
      <c r="AI78" s="48">
        <f t="shared" si="16"/>
        <v>140.69999999999999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5"/>
        <v>0</v>
      </c>
      <c r="AI79" s="48">
        <f t="shared" si="16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5"/>
        <v>0</v>
      </c>
      <c r="AI80" s="48">
        <f t="shared" si="16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5"/>
        <v>0</v>
      </c>
      <c r="AI81" s="48">
        <f t="shared" si="16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5"/>
        <v>0</v>
      </c>
      <c r="AI82" s="48">
        <f t="shared" si="16"/>
        <v>0</v>
      </c>
    </row>
    <row r="83" spans="1:37" ht="15.75" thickBot="1" x14ac:dyDescent="0.3">
      <c r="A83" s="74" t="s">
        <v>94</v>
      </c>
      <c r="B83" s="95">
        <f t="shared" ref="B83" si="20">B44+B48+B66+B62+B78+B82</f>
        <v>948.04</v>
      </c>
      <c r="C83" s="95">
        <f t="shared" ref="C83:AG83" si="21">C44+C48+C66+C62+C78+C82</f>
        <v>945.24</v>
      </c>
      <c r="D83" s="95">
        <f t="shared" ref="D83" si="22">D44+D48+D66+D62+D78+D82</f>
        <v>922.94</v>
      </c>
      <c r="E83" s="95">
        <f t="shared" si="21"/>
        <v>893.6400000000001</v>
      </c>
      <c r="F83" s="95">
        <f t="shared" si="21"/>
        <v>891.24</v>
      </c>
      <c r="G83" s="95">
        <f t="shared" si="21"/>
        <v>958.84</v>
      </c>
      <c r="H83" s="95">
        <f t="shared" si="21"/>
        <v>1035.3399999999999</v>
      </c>
      <c r="I83" s="95">
        <f t="shared" si="21"/>
        <v>1131.04</v>
      </c>
      <c r="J83" s="95">
        <f t="shared" si="21"/>
        <v>1206.1399999999999</v>
      </c>
      <c r="K83" s="95">
        <f t="shared" si="21"/>
        <v>1284.2400000000002</v>
      </c>
      <c r="L83" s="95">
        <f t="shared" si="21"/>
        <v>1331.04</v>
      </c>
      <c r="M83" s="95">
        <f t="shared" si="21"/>
        <v>1321.74</v>
      </c>
      <c r="N83" s="95">
        <f t="shared" si="21"/>
        <v>1192.04</v>
      </c>
      <c r="O83" s="95">
        <f t="shared" si="21"/>
        <v>1200.54</v>
      </c>
      <c r="P83" s="95">
        <f t="shared" si="21"/>
        <v>1172.1399999999999</v>
      </c>
      <c r="Q83" s="95">
        <f t="shared" si="21"/>
        <v>1103.6400000000001</v>
      </c>
      <c r="R83" s="95">
        <f t="shared" si="21"/>
        <v>1176.6399999999999</v>
      </c>
      <c r="S83" s="95">
        <f t="shared" si="21"/>
        <v>1204.04</v>
      </c>
      <c r="T83" s="95">
        <f t="shared" si="21"/>
        <v>1218.6399999999999</v>
      </c>
      <c r="U83" s="95">
        <f t="shared" si="21"/>
        <v>1220.24</v>
      </c>
      <c r="V83" s="95">
        <f t="shared" si="21"/>
        <v>1281.24</v>
      </c>
      <c r="W83" s="95">
        <f t="shared" si="21"/>
        <v>1232.7399999999998</v>
      </c>
      <c r="X83" s="95">
        <f t="shared" si="21"/>
        <v>1270.8400000000001</v>
      </c>
      <c r="Y83" s="95">
        <f t="shared" si="21"/>
        <v>1419.1399999999999</v>
      </c>
      <c r="Z83" s="95">
        <f t="shared" si="21"/>
        <v>1449.74</v>
      </c>
      <c r="AA83" s="95">
        <f t="shared" si="21"/>
        <v>1308.04</v>
      </c>
      <c r="AB83" s="95">
        <f t="shared" si="21"/>
        <v>1217.54</v>
      </c>
      <c r="AC83" s="95">
        <f t="shared" si="21"/>
        <v>1209.44</v>
      </c>
      <c r="AD83" s="95">
        <f t="shared" si="21"/>
        <v>1161.6399999999999</v>
      </c>
      <c r="AE83" s="95">
        <f t="shared" si="21"/>
        <v>1068.3400000000001</v>
      </c>
      <c r="AF83" s="95">
        <f t="shared" si="21"/>
        <v>973.44</v>
      </c>
      <c r="AG83" s="61">
        <f t="shared" si="21"/>
        <v>2004.1900000000003</v>
      </c>
      <c r="AH83" s="47">
        <f>MAX(B83:AF83)</f>
        <v>1449.74</v>
      </c>
      <c r="AI83" s="48">
        <f>MIN(B83:AF83)</f>
        <v>891.24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150</v>
      </c>
      <c r="M84" s="97">
        <v>150</v>
      </c>
      <c r="N84" s="97">
        <v>150</v>
      </c>
      <c r="O84" s="97">
        <v>150</v>
      </c>
      <c r="P84" s="97">
        <v>120</v>
      </c>
      <c r="Q84" s="97">
        <v>90</v>
      </c>
      <c r="R84" s="97">
        <v>90</v>
      </c>
      <c r="S84" s="97">
        <v>75</v>
      </c>
      <c r="T84" s="97">
        <v>45</v>
      </c>
      <c r="U84" s="97">
        <v>45</v>
      </c>
      <c r="V84" s="97">
        <v>45</v>
      </c>
      <c r="W84" s="97">
        <v>45</v>
      </c>
      <c r="X84" s="97">
        <v>45</v>
      </c>
      <c r="Y84" s="97">
        <v>160</v>
      </c>
      <c r="Z84" s="97">
        <v>160</v>
      </c>
      <c r="AA84" s="97">
        <v>160</v>
      </c>
      <c r="AB84" s="97">
        <v>150</v>
      </c>
      <c r="AC84" s="97">
        <v>120</v>
      </c>
      <c r="AD84" s="97">
        <v>100</v>
      </c>
      <c r="AE84" s="97">
        <v>70</v>
      </c>
      <c r="AF84" s="97">
        <v>70</v>
      </c>
      <c r="AG84" s="88"/>
      <c r="AH84" s="47">
        <f t="shared" si="15"/>
        <v>160</v>
      </c>
      <c r="AI84" s="48">
        <f t="shared" si="16"/>
        <v>45</v>
      </c>
    </row>
    <row r="85" spans="1:37" ht="15.75" thickBot="1" x14ac:dyDescent="0.3">
      <c r="A85" s="74" t="s">
        <v>96</v>
      </c>
      <c r="B85" s="95">
        <f t="shared" ref="B85" si="23">B83+B84</f>
        <v>948.04</v>
      </c>
      <c r="C85" s="95">
        <f t="shared" ref="C85:AF85" si="24">C83+C84</f>
        <v>945.24</v>
      </c>
      <c r="D85" s="95">
        <f t="shared" ref="D85" si="25">D83+D84</f>
        <v>922.94</v>
      </c>
      <c r="E85" s="95">
        <f t="shared" si="24"/>
        <v>893.6400000000001</v>
      </c>
      <c r="F85" s="95">
        <f t="shared" si="24"/>
        <v>891.24</v>
      </c>
      <c r="G85" s="95">
        <f t="shared" si="24"/>
        <v>958.84</v>
      </c>
      <c r="H85" s="95">
        <f t="shared" si="24"/>
        <v>1035.3399999999999</v>
      </c>
      <c r="I85" s="95">
        <f t="shared" si="24"/>
        <v>1131.04</v>
      </c>
      <c r="J85" s="95">
        <f t="shared" si="24"/>
        <v>1206.1399999999999</v>
      </c>
      <c r="K85" s="95">
        <f t="shared" si="24"/>
        <v>1284.2400000000002</v>
      </c>
      <c r="L85" s="95">
        <f t="shared" si="24"/>
        <v>1481.04</v>
      </c>
      <c r="M85" s="95">
        <f t="shared" si="24"/>
        <v>1471.74</v>
      </c>
      <c r="N85" s="95">
        <f t="shared" si="24"/>
        <v>1342.04</v>
      </c>
      <c r="O85" s="95">
        <f t="shared" si="24"/>
        <v>1350.54</v>
      </c>
      <c r="P85" s="95">
        <f t="shared" si="24"/>
        <v>1292.1399999999999</v>
      </c>
      <c r="Q85" s="95">
        <f t="shared" si="24"/>
        <v>1193.6400000000001</v>
      </c>
      <c r="R85" s="95">
        <f t="shared" si="24"/>
        <v>1266.6399999999999</v>
      </c>
      <c r="S85" s="95">
        <f t="shared" si="24"/>
        <v>1279.04</v>
      </c>
      <c r="T85" s="95">
        <f t="shared" si="24"/>
        <v>1263.6399999999999</v>
      </c>
      <c r="U85" s="95">
        <f t="shared" si="24"/>
        <v>1265.24</v>
      </c>
      <c r="V85" s="95">
        <f t="shared" si="24"/>
        <v>1326.24</v>
      </c>
      <c r="W85" s="95">
        <f t="shared" si="24"/>
        <v>1277.7399999999998</v>
      </c>
      <c r="X85" s="95">
        <f t="shared" si="24"/>
        <v>1315.8400000000001</v>
      </c>
      <c r="Y85" s="95">
        <f t="shared" si="24"/>
        <v>1579.1399999999999</v>
      </c>
      <c r="Z85" s="95">
        <f t="shared" si="24"/>
        <v>1609.74</v>
      </c>
      <c r="AA85" s="95">
        <f t="shared" si="24"/>
        <v>1468.04</v>
      </c>
      <c r="AB85" s="95">
        <f t="shared" si="24"/>
        <v>1367.54</v>
      </c>
      <c r="AC85" s="95">
        <f t="shared" si="24"/>
        <v>1329.44</v>
      </c>
      <c r="AD85" s="95">
        <f t="shared" si="24"/>
        <v>1261.6399999999999</v>
      </c>
      <c r="AE85" s="95">
        <f t="shared" si="24"/>
        <v>1138.3400000000001</v>
      </c>
      <c r="AF85" s="95">
        <f t="shared" si="24"/>
        <v>1043.44</v>
      </c>
      <c r="AG85" s="88">
        <f>AG82+AG78+AG66+AG62+AG44+AG84</f>
        <v>1466.0900000000001</v>
      </c>
      <c r="AH85" s="47">
        <f t="shared" si="15"/>
        <v>1609.74</v>
      </c>
      <c r="AI85" s="48">
        <f t="shared" si="16"/>
        <v>891.24</v>
      </c>
    </row>
    <row r="86" spans="1:37" ht="15.75" thickBot="1" x14ac:dyDescent="0.3">
      <c r="A86" s="74" t="s">
        <v>97</v>
      </c>
      <c r="B86" s="95">
        <f t="shared" ref="B86" si="26">B85-B93</f>
        <v>948.04</v>
      </c>
      <c r="C86" s="95">
        <f t="shared" ref="C86:AF86" si="27">C85-C93</f>
        <v>945.24</v>
      </c>
      <c r="D86" s="95">
        <f t="shared" ref="D86" si="28">D85-D93</f>
        <v>922.94</v>
      </c>
      <c r="E86" s="95">
        <f t="shared" si="27"/>
        <v>893.6400000000001</v>
      </c>
      <c r="F86" s="95">
        <f t="shared" si="27"/>
        <v>891.24</v>
      </c>
      <c r="G86" s="95">
        <f t="shared" si="27"/>
        <v>958.84</v>
      </c>
      <c r="H86" s="95">
        <f t="shared" si="27"/>
        <v>1035.3399999999999</v>
      </c>
      <c r="I86" s="95">
        <f t="shared" si="27"/>
        <v>1131.04</v>
      </c>
      <c r="J86" s="95">
        <f t="shared" si="27"/>
        <v>1206.1399999999999</v>
      </c>
      <c r="K86" s="95">
        <f t="shared" si="27"/>
        <v>1284.2400000000002</v>
      </c>
      <c r="L86" s="95">
        <f t="shared" si="27"/>
        <v>1481.04</v>
      </c>
      <c r="M86" s="95">
        <f t="shared" si="27"/>
        <v>1471.74</v>
      </c>
      <c r="N86" s="95">
        <f t="shared" si="27"/>
        <v>1342.04</v>
      </c>
      <c r="O86" s="95">
        <f t="shared" si="27"/>
        <v>1350.54</v>
      </c>
      <c r="P86" s="95">
        <f t="shared" si="27"/>
        <v>1292.1399999999999</v>
      </c>
      <c r="Q86" s="95">
        <f t="shared" si="27"/>
        <v>1193.6400000000001</v>
      </c>
      <c r="R86" s="95">
        <f t="shared" si="27"/>
        <v>1266.6399999999999</v>
      </c>
      <c r="S86" s="95">
        <f t="shared" si="27"/>
        <v>1279.04</v>
      </c>
      <c r="T86" s="95">
        <f t="shared" si="27"/>
        <v>1263.6399999999999</v>
      </c>
      <c r="U86" s="95">
        <f t="shared" si="27"/>
        <v>1265.24</v>
      </c>
      <c r="V86" s="95">
        <f t="shared" si="27"/>
        <v>1326.24</v>
      </c>
      <c r="W86" s="95">
        <f t="shared" si="27"/>
        <v>1277.7399999999998</v>
      </c>
      <c r="X86" s="95">
        <f t="shared" si="27"/>
        <v>1315.8400000000001</v>
      </c>
      <c r="Y86" s="95">
        <f t="shared" si="27"/>
        <v>1579.1399999999999</v>
      </c>
      <c r="Z86" s="95">
        <f t="shared" si="27"/>
        <v>1609.74</v>
      </c>
      <c r="AA86" s="95">
        <f t="shared" si="27"/>
        <v>1468.04</v>
      </c>
      <c r="AB86" s="95">
        <f t="shared" si="27"/>
        <v>1367.54</v>
      </c>
      <c r="AC86" s="95">
        <f t="shared" si="27"/>
        <v>1329.44</v>
      </c>
      <c r="AD86" s="95">
        <f t="shared" si="27"/>
        <v>1261.6399999999999</v>
      </c>
      <c r="AE86" s="95">
        <f t="shared" si="27"/>
        <v>1138.3400000000001</v>
      </c>
      <c r="AF86" s="95">
        <f t="shared" si="27"/>
        <v>1043.44</v>
      </c>
      <c r="AG86" s="88"/>
      <c r="AH86" s="47">
        <f t="shared" si="15"/>
        <v>1609.74</v>
      </c>
      <c r="AI86" s="48">
        <f t="shared" si="16"/>
        <v>891.24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5"/>
        <v>0</v>
      </c>
      <c r="AI87" s="48">
        <f t="shared" si="16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5"/>
        <v>0</v>
      </c>
      <c r="AI88" s="48">
        <f t="shared" si="16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5"/>
        <v>0</v>
      </c>
      <c r="AI89" s="48">
        <f t="shared" si="16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5"/>
        <v>0</v>
      </c>
      <c r="AI90" s="48">
        <f t="shared" si="16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5"/>
        <v>0</v>
      </c>
      <c r="AI91" s="48">
        <f t="shared" si="16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5"/>
        <v>0</v>
      </c>
      <c r="AI92" s="48">
        <f t="shared" si="16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5"/>
        <v>0</v>
      </c>
      <c r="AI93" s="48">
        <f t="shared" si="16"/>
        <v>0</v>
      </c>
      <c r="AK93" s="49"/>
    </row>
    <row r="94" spans="1:37" ht="15.75" thickBot="1" x14ac:dyDescent="0.3">
      <c r="A94" s="74" t="s">
        <v>102</v>
      </c>
      <c r="B94" s="60">
        <f t="shared" ref="B94" si="29">B78-B93</f>
        <v>452.7</v>
      </c>
      <c r="C94" s="60">
        <f t="shared" ref="C94:AF94" si="30">C78-C93</f>
        <v>437.70000000000005</v>
      </c>
      <c r="D94" s="60">
        <f t="shared" si="30"/>
        <v>429.3</v>
      </c>
      <c r="E94" s="60">
        <f t="shared" si="30"/>
        <v>381.70000000000005</v>
      </c>
      <c r="F94" s="60">
        <f t="shared" si="30"/>
        <v>359</v>
      </c>
      <c r="G94" s="60">
        <f t="shared" si="30"/>
        <v>377.9</v>
      </c>
      <c r="H94" s="60">
        <f t="shared" si="30"/>
        <v>403.59999999999997</v>
      </c>
      <c r="I94" s="60">
        <f t="shared" si="30"/>
        <v>435.8</v>
      </c>
      <c r="J94" s="60">
        <f t="shared" si="30"/>
        <v>341.2</v>
      </c>
      <c r="K94" s="60">
        <f t="shared" si="30"/>
        <v>214.4</v>
      </c>
      <c r="L94" s="60">
        <f t="shared" si="30"/>
        <v>155.6</v>
      </c>
      <c r="M94" s="60">
        <f t="shared" si="30"/>
        <v>140.69999999999999</v>
      </c>
      <c r="N94" s="60">
        <f t="shared" si="30"/>
        <v>164</v>
      </c>
      <c r="O94" s="60">
        <f t="shared" si="30"/>
        <v>331</v>
      </c>
      <c r="P94" s="60">
        <f t="shared" si="30"/>
        <v>458.9</v>
      </c>
      <c r="Q94" s="60">
        <f t="shared" si="30"/>
        <v>415.2</v>
      </c>
      <c r="R94" s="60">
        <f t="shared" si="30"/>
        <v>480.6</v>
      </c>
      <c r="S94" s="60">
        <f t="shared" si="30"/>
        <v>466.6</v>
      </c>
      <c r="T94" s="60">
        <f t="shared" si="30"/>
        <v>486</v>
      </c>
      <c r="U94" s="60">
        <f t="shared" si="30"/>
        <v>491.7</v>
      </c>
      <c r="V94" s="60">
        <f t="shared" si="30"/>
        <v>477</v>
      </c>
      <c r="W94" s="60">
        <f t="shared" si="30"/>
        <v>363.9</v>
      </c>
      <c r="X94" s="60">
        <f t="shared" si="30"/>
        <v>324.60000000000002</v>
      </c>
      <c r="Y94" s="60">
        <f t="shared" si="30"/>
        <v>382.8</v>
      </c>
      <c r="Z94" s="60">
        <f t="shared" si="30"/>
        <v>385.7</v>
      </c>
      <c r="AA94" s="60">
        <f t="shared" si="30"/>
        <v>268.3</v>
      </c>
      <c r="AB94" s="60">
        <f t="shared" si="30"/>
        <v>475.3</v>
      </c>
      <c r="AC94" s="60">
        <f t="shared" si="30"/>
        <v>466</v>
      </c>
      <c r="AD94" s="60">
        <f t="shared" si="30"/>
        <v>442.79999999999995</v>
      </c>
      <c r="AE94" s="60">
        <f t="shared" si="30"/>
        <v>448.40000000000003</v>
      </c>
      <c r="AF94" s="60">
        <f t="shared" si="30"/>
        <v>432.40000000000003</v>
      </c>
      <c r="AG94" s="88"/>
      <c r="AH94" s="47">
        <f t="shared" si="15"/>
        <v>491.7</v>
      </c>
      <c r="AI94" s="48">
        <f t="shared" si="16"/>
        <v>140.69999999999999</v>
      </c>
    </row>
    <row r="95" spans="1:37" x14ac:dyDescent="0.25">
      <c r="A95" s="100" t="s">
        <v>103</v>
      </c>
      <c r="B95" s="101">
        <v>50.05</v>
      </c>
      <c r="C95" s="101">
        <v>49.98</v>
      </c>
      <c r="D95" s="101">
        <v>50.01</v>
      </c>
      <c r="E95" s="101">
        <v>49.923000000000002</v>
      </c>
      <c r="F95" s="101">
        <v>49.963000000000001</v>
      </c>
      <c r="G95" s="101">
        <v>49.97</v>
      </c>
      <c r="H95" s="101">
        <v>49.911999999999999</v>
      </c>
      <c r="I95" s="101">
        <v>50.011000000000003</v>
      </c>
      <c r="J95" s="101">
        <v>50.067999999999998</v>
      </c>
      <c r="K95" s="101">
        <v>50.042999999999999</v>
      </c>
      <c r="L95" s="101">
        <v>50.054000000000002</v>
      </c>
      <c r="M95" s="101">
        <v>50.155000000000001</v>
      </c>
      <c r="N95" s="101">
        <v>50.093000000000004</v>
      </c>
      <c r="O95" s="101">
        <v>49.973999999999997</v>
      </c>
      <c r="P95" s="101">
        <v>49.973999999999997</v>
      </c>
      <c r="Q95" s="101">
        <v>50.054000000000002</v>
      </c>
      <c r="R95" s="101">
        <v>49.951999999999998</v>
      </c>
      <c r="S95" s="101">
        <v>49.988999999999997</v>
      </c>
      <c r="T95" s="101">
        <v>49.988999999999997</v>
      </c>
      <c r="U95" s="101">
        <v>49.896999999999998</v>
      </c>
      <c r="V95" s="101">
        <v>50.05</v>
      </c>
      <c r="W95" s="101">
        <v>50.018000000000001</v>
      </c>
      <c r="X95" s="101">
        <v>50.098999999999997</v>
      </c>
      <c r="Y95" s="101">
        <v>50.095999999999997</v>
      </c>
      <c r="Z95" s="101">
        <v>50.01</v>
      </c>
      <c r="AA95" s="101">
        <v>49.832000000000001</v>
      </c>
      <c r="AB95" s="101">
        <v>49.944000000000003</v>
      </c>
      <c r="AC95" s="101">
        <v>50.061999999999998</v>
      </c>
      <c r="AD95" s="101">
        <v>50.042000000000002</v>
      </c>
      <c r="AE95" s="101">
        <v>49.951999999999998</v>
      </c>
      <c r="AF95" s="101">
        <v>49.920999999999999</v>
      </c>
      <c r="AG95" s="102"/>
      <c r="AH95" s="47">
        <f t="shared" si="15"/>
        <v>50.155000000000001</v>
      </c>
      <c r="AI95" s="48">
        <f t="shared" si="16"/>
        <v>49.832000000000001</v>
      </c>
    </row>
    <row r="96" spans="1:37" x14ac:dyDescent="0.25">
      <c r="A96" s="103" t="s">
        <v>104</v>
      </c>
      <c r="B96" s="65">
        <v>129.30000000000001</v>
      </c>
      <c r="C96" s="65">
        <v>130.4</v>
      </c>
      <c r="D96" s="65">
        <v>129.80000000000001</v>
      </c>
      <c r="E96" s="65">
        <v>130</v>
      </c>
      <c r="F96" s="65">
        <v>129.9</v>
      </c>
      <c r="G96" s="65">
        <v>128.1</v>
      </c>
      <c r="H96" s="65">
        <v>126.6</v>
      </c>
      <c r="I96" s="65">
        <v>128.19999999999999</v>
      </c>
      <c r="J96" s="65">
        <v>128.6</v>
      </c>
      <c r="K96" s="65">
        <v>128</v>
      </c>
      <c r="L96" s="65">
        <v>126.3</v>
      </c>
      <c r="M96" s="65">
        <v>126.3</v>
      </c>
      <c r="N96" s="65">
        <v>125.6</v>
      </c>
      <c r="O96" s="65">
        <v>125.7</v>
      </c>
      <c r="P96" s="65">
        <v>125.7</v>
      </c>
      <c r="Q96" s="65">
        <v>125.6</v>
      </c>
      <c r="R96" s="65">
        <v>124.8</v>
      </c>
      <c r="S96" s="65">
        <v>125.4</v>
      </c>
      <c r="T96" s="65">
        <v>126.2</v>
      </c>
      <c r="U96" s="65">
        <v>127</v>
      </c>
      <c r="V96" s="65">
        <v>128.4</v>
      </c>
      <c r="W96" s="65">
        <v>127</v>
      </c>
      <c r="X96" s="65">
        <v>130.30000000000001</v>
      </c>
      <c r="Y96" s="65">
        <v>127.6</v>
      </c>
      <c r="Z96" s="65">
        <v>129</v>
      </c>
      <c r="AA96" s="65">
        <v>129</v>
      </c>
      <c r="AB96" s="65">
        <v>129</v>
      </c>
      <c r="AC96" s="65">
        <v>128.80000000000001</v>
      </c>
      <c r="AD96" s="65">
        <v>129.1</v>
      </c>
      <c r="AE96" s="65">
        <v>128.9</v>
      </c>
      <c r="AF96" s="65">
        <v>127.9</v>
      </c>
      <c r="AG96" s="104"/>
      <c r="AH96" s="47">
        <f t="shared" si="15"/>
        <v>130.4</v>
      </c>
      <c r="AI96" s="48">
        <f t="shared" si="16"/>
        <v>124.8</v>
      </c>
    </row>
    <row r="97" spans="1:35" x14ac:dyDescent="0.25">
      <c r="A97" s="103" t="s">
        <v>105</v>
      </c>
      <c r="B97" s="65">
        <v>131.80000000000001</v>
      </c>
      <c r="C97" s="65">
        <v>133</v>
      </c>
      <c r="D97" s="65">
        <v>132.6</v>
      </c>
      <c r="E97" s="65">
        <v>133</v>
      </c>
      <c r="F97" s="65">
        <v>133.30000000000001</v>
      </c>
      <c r="G97" s="65">
        <v>131.4</v>
      </c>
      <c r="H97" s="65">
        <v>129.9</v>
      </c>
      <c r="I97" s="65">
        <v>131.19999999999999</v>
      </c>
      <c r="J97" s="65">
        <v>130.69999999999999</v>
      </c>
      <c r="K97" s="65">
        <v>130.9</v>
      </c>
      <c r="L97" s="65">
        <v>128.9</v>
      </c>
      <c r="M97" s="65">
        <v>128.9</v>
      </c>
      <c r="N97" s="65">
        <v>128.4</v>
      </c>
      <c r="O97" s="65">
        <v>128</v>
      </c>
      <c r="P97" s="65">
        <v>128</v>
      </c>
      <c r="Q97" s="65">
        <v>128.19999999999999</v>
      </c>
      <c r="R97" s="65">
        <v>127.9</v>
      </c>
      <c r="S97" s="65">
        <v>128.30000000000001</v>
      </c>
      <c r="T97" s="65">
        <v>128.6</v>
      </c>
      <c r="U97" s="65">
        <v>129.4</v>
      </c>
      <c r="V97" s="65">
        <v>130</v>
      </c>
      <c r="W97" s="65">
        <v>129.69999999999999</v>
      </c>
      <c r="X97" s="65">
        <v>132</v>
      </c>
      <c r="Y97" s="65">
        <v>129.5</v>
      </c>
      <c r="Z97" s="65">
        <v>130.9</v>
      </c>
      <c r="AA97" s="65">
        <v>130.9</v>
      </c>
      <c r="AB97" s="65">
        <v>131.1</v>
      </c>
      <c r="AC97" s="65">
        <v>131.1</v>
      </c>
      <c r="AD97" s="65">
        <v>131.5</v>
      </c>
      <c r="AE97" s="65">
        <v>131.30000000000001</v>
      </c>
      <c r="AF97" s="65">
        <v>130.69999999999999</v>
      </c>
      <c r="AG97" s="104"/>
      <c r="AH97" s="47">
        <f t="shared" si="15"/>
        <v>133.30000000000001</v>
      </c>
      <c r="AI97" s="48">
        <f t="shared" si="16"/>
        <v>127.9</v>
      </c>
    </row>
    <row r="98" spans="1:35" x14ac:dyDescent="0.25">
      <c r="A98" s="103" t="s">
        <v>106</v>
      </c>
      <c r="B98" s="65">
        <v>130.6</v>
      </c>
      <c r="C98" s="65">
        <v>131.5</v>
      </c>
      <c r="D98" s="65">
        <v>132.30000000000001</v>
      </c>
      <c r="E98" s="65">
        <v>129.9</v>
      </c>
      <c r="F98" s="65">
        <v>129.30000000000001</v>
      </c>
      <c r="G98" s="65">
        <v>127.7</v>
      </c>
      <c r="H98" s="65">
        <v>127.4</v>
      </c>
      <c r="I98" s="65">
        <v>127.2</v>
      </c>
      <c r="J98" s="65">
        <v>126.4</v>
      </c>
      <c r="K98" s="65">
        <v>126.9</v>
      </c>
      <c r="L98" s="65">
        <v>125.5</v>
      </c>
      <c r="M98" s="65">
        <v>125.5</v>
      </c>
      <c r="N98" s="65">
        <v>128.80000000000001</v>
      </c>
      <c r="O98" s="65">
        <v>129.1</v>
      </c>
      <c r="P98" s="65">
        <v>129.1</v>
      </c>
      <c r="Q98" s="65">
        <v>130.5</v>
      </c>
      <c r="R98" s="65">
        <v>128.1</v>
      </c>
      <c r="S98" s="65">
        <v>126.9</v>
      </c>
      <c r="T98" s="65">
        <v>127.3</v>
      </c>
      <c r="U98" s="65">
        <v>128.30000000000001</v>
      </c>
      <c r="V98" s="65">
        <v>131</v>
      </c>
      <c r="W98" s="65">
        <v>129.9</v>
      </c>
      <c r="X98" s="65">
        <v>130.69999999999999</v>
      </c>
      <c r="Y98" s="65">
        <v>126.1</v>
      </c>
      <c r="Z98" s="65">
        <v>127.7</v>
      </c>
      <c r="AA98" s="65">
        <v>127.7</v>
      </c>
      <c r="AB98" s="65">
        <v>129.80000000000001</v>
      </c>
      <c r="AC98" s="65">
        <v>129.4</v>
      </c>
      <c r="AD98" s="65">
        <v>128.69999999999999</v>
      </c>
      <c r="AE98" s="65">
        <v>129.19999999999999</v>
      </c>
      <c r="AF98" s="65">
        <v>130.5</v>
      </c>
      <c r="AG98" s="104"/>
      <c r="AH98" s="47">
        <f t="shared" si="15"/>
        <v>132.30000000000001</v>
      </c>
      <c r="AI98" s="48">
        <f t="shared" si="16"/>
        <v>125.5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5"/>
        <v>0</v>
      </c>
      <c r="AI99" s="48">
        <f t="shared" si="16"/>
        <v>0</v>
      </c>
    </row>
    <row r="100" spans="1:35" x14ac:dyDescent="0.25">
      <c r="A100" s="105" t="s">
        <v>108</v>
      </c>
      <c r="B100" s="106">
        <v>130</v>
      </c>
      <c r="C100" s="106">
        <v>132.6</v>
      </c>
      <c r="D100" s="106">
        <v>131.6</v>
      </c>
      <c r="E100" s="106">
        <v>134</v>
      </c>
      <c r="F100" s="106">
        <v>132.69999999999999</v>
      </c>
      <c r="G100" s="106">
        <v>131.4</v>
      </c>
      <c r="H100" s="106">
        <v>128.9</v>
      </c>
      <c r="I100" s="106">
        <v>134.4</v>
      </c>
      <c r="J100" s="106">
        <v>135.9</v>
      </c>
      <c r="K100" s="106">
        <v>134.9</v>
      </c>
      <c r="L100" s="106">
        <v>133.69999999999999</v>
      </c>
      <c r="M100" s="106">
        <v>133.69999999999999</v>
      </c>
      <c r="N100" s="106">
        <v>131.69999999999999</v>
      </c>
      <c r="O100" s="106">
        <v>130.9</v>
      </c>
      <c r="P100" s="106">
        <v>130.9</v>
      </c>
      <c r="Q100" s="106">
        <v>135.5</v>
      </c>
      <c r="R100" s="106">
        <v>133.5</v>
      </c>
      <c r="S100" s="106">
        <v>133.4</v>
      </c>
      <c r="T100" s="106">
        <v>133.9</v>
      </c>
      <c r="U100" s="106">
        <v>134.6</v>
      </c>
      <c r="V100" s="106">
        <v>136.80000000000001</v>
      </c>
      <c r="W100" s="106">
        <v>134.1</v>
      </c>
      <c r="X100" s="106">
        <v>134</v>
      </c>
      <c r="Y100" s="106">
        <v>132.6</v>
      </c>
      <c r="Z100" s="106">
        <v>135.5</v>
      </c>
      <c r="AA100" s="106">
        <v>135.5</v>
      </c>
      <c r="AB100" s="106">
        <v>134.80000000000001</v>
      </c>
      <c r="AC100" s="106">
        <v>134.1</v>
      </c>
      <c r="AD100" s="106">
        <v>133.69999999999999</v>
      </c>
      <c r="AE100" s="106">
        <v>131.6</v>
      </c>
      <c r="AF100" s="106">
        <v>129.6</v>
      </c>
      <c r="AG100" s="107"/>
      <c r="AH100" s="47">
        <f t="shared" si="15"/>
        <v>136.80000000000001</v>
      </c>
      <c r="AI100" s="48">
        <f t="shared" si="16"/>
        <v>128.9</v>
      </c>
    </row>
    <row r="101" spans="1:35" x14ac:dyDescent="0.25">
      <c r="A101" s="103" t="s">
        <v>109</v>
      </c>
      <c r="B101" s="65">
        <v>129</v>
      </c>
      <c r="C101" s="65">
        <v>131.80000000000001</v>
      </c>
      <c r="D101" s="65">
        <v>131</v>
      </c>
      <c r="E101" s="65">
        <v>136</v>
      </c>
      <c r="F101" s="65">
        <v>134.6</v>
      </c>
      <c r="G101" s="65">
        <v>133</v>
      </c>
      <c r="H101" s="65">
        <v>127.5</v>
      </c>
      <c r="I101" s="65">
        <v>132.4</v>
      </c>
      <c r="J101" s="65">
        <v>132.4</v>
      </c>
      <c r="K101" s="65">
        <v>131.30000000000001</v>
      </c>
      <c r="L101" s="65">
        <v>128.30000000000001</v>
      </c>
      <c r="M101" s="65">
        <v>128.30000000000001</v>
      </c>
      <c r="N101" s="65">
        <v>128.1</v>
      </c>
      <c r="O101" s="65">
        <v>127.2</v>
      </c>
      <c r="P101" s="65">
        <v>127.2</v>
      </c>
      <c r="Q101" s="65">
        <v>131.5</v>
      </c>
      <c r="R101" s="65">
        <v>129.4</v>
      </c>
      <c r="S101" s="65">
        <v>126.8</v>
      </c>
      <c r="T101" s="65">
        <v>128.6</v>
      </c>
      <c r="U101" s="65">
        <v>131.1</v>
      </c>
      <c r="V101" s="65">
        <v>131.1</v>
      </c>
      <c r="W101" s="65">
        <v>131.1</v>
      </c>
      <c r="X101" s="65">
        <v>129.9</v>
      </c>
      <c r="Y101" s="65">
        <v>129.19999999999999</v>
      </c>
      <c r="Z101" s="65">
        <v>132.80000000000001</v>
      </c>
      <c r="AA101" s="65">
        <v>132.80000000000001</v>
      </c>
      <c r="AB101" s="65">
        <v>135.19999999999999</v>
      </c>
      <c r="AC101" s="65">
        <v>135</v>
      </c>
      <c r="AD101" s="65">
        <v>134.69999999999999</v>
      </c>
      <c r="AE101" s="65">
        <v>131.5</v>
      </c>
      <c r="AF101" s="65">
        <v>131.4</v>
      </c>
      <c r="AG101" s="104"/>
      <c r="AH101" s="47">
        <f t="shared" si="15"/>
        <v>136</v>
      </c>
      <c r="AI101" s="48">
        <f t="shared" si="16"/>
        <v>126.8</v>
      </c>
    </row>
    <row r="102" spans="1:35" ht="15.75" thickBot="1" x14ac:dyDescent="0.3">
      <c r="A102" s="103" t="s">
        <v>110</v>
      </c>
      <c r="B102" s="92">
        <v>66.099999999999994</v>
      </c>
      <c r="C102" s="92">
        <v>66.5</v>
      </c>
      <c r="D102" s="92">
        <v>66.7</v>
      </c>
      <c r="E102" s="92">
        <v>66.5</v>
      </c>
      <c r="F102" s="92">
        <v>66.7</v>
      </c>
      <c r="G102" s="92">
        <v>65.8</v>
      </c>
      <c r="H102" s="92">
        <v>65.099999999999994</v>
      </c>
      <c r="I102" s="92">
        <v>65.8</v>
      </c>
      <c r="J102" s="92">
        <v>65.5</v>
      </c>
      <c r="K102" s="92">
        <v>65.3</v>
      </c>
      <c r="L102" s="92">
        <v>64.2</v>
      </c>
      <c r="M102" s="92">
        <v>64.2</v>
      </c>
      <c r="N102" s="92">
        <v>64.2</v>
      </c>
      <c r="O102" s="92">
        <v>64</v>
      </c>
      <c r="P102" s="92">
        <v>64</v>
      </c>
      <c r="Q102" s="92">
        <v>64</v>
      </c>
      <c r="R102" s="92">
        <v>63.9</v>
      </c>
      <c r="S102" s="92">
        <v>64.2</v>
      </c>
      <c r="T102" s="92">
        <v>64.5</v>
      </c>
      <c r="U102" s="92">
        <v>64.8</v>
      </c>
      <c r="V102" s="92">
        <v>64.8</v>
      </c>
      <c r="W102" s="92">
        <v>64.8</v>
      </c>
      <c r="X102" s="92">
        <v>65.7</v>
      </c>
      <c r="Y102" s="92">
        <v>64.900000000000006</v>
      </c>
      <c r="Z102" s="92">
        <v>65.8</v>
      </c>
      <c r="AA102" s="92">
        <v>65.8</v>
      </c>
      <c r="AB102" s="92">
        <v>65.7</v>
      </c>
      <c r="AC102" s="92">
        <v>65.900000000000006</v>
      </c>
      <c r="AD102" s="92">
        <v>66.099999999999994</v>
      </c>
      <c r="AE102" s="92">
        <v>66</v>
      </c>
      <c r="AF102" s="92">
        <v>66</v>
      </c>
      <c r="AG102" s="108"/>
      <c r="AH102" s="47">
        <f t="shared" si="15"/>
        <v>66.7</v>
      </c>
      <c r="AI102" s="48">
        <f t="shared" si="16"/>
        <v>63.9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5"/>
        <v>0</v>
      </c>
      <c r="AI103" s="48">
        <f t="shared" si="16"/>
        <v>0</v>
      </c>
    </row>
    <row r="104" spans="1:35" ht="15.75" thickBot="1" x14ac:dyDescent="0.3">
      <c r="A104" s="110" t="s">
        <v>112</v>
      </c>
      <c r="B104" s="111">
        <f t="shared" ref="B104" si="31">SUM(B16,B22,B25:B26,B52,B54:B55,B57,B59,B105:B109,B131,B137,B143,B152,B154,B166,B173,B176:B177,B184,B186,B188,B192:B194,B196:B198,B203,B209:B210,B212:B214,B222,B227)</f>
        <v>205.9</v>
      </c>
      <c r="C104" s="111">
        <f t="shared" ref="C104:AF104" si="32">SUM(C16,C22,C25:C26,C52,C54:C55,C57,C59,C105:C109,C131,C137,C143,C152,C154,C166,C173,C176:C177,C184,C186,C188,C192:C194,C196:C198,C203,C209:C210,C212:C214,C222,C227)</f>
        <v>113.43999999999998</v>
      </c>
      <c r="D104" s="111">
        <f t="shared" si="32"/>
        <v>107.23999999999998</v>
      </c>
      <c r="E104" s="111">
        <f t="shared" si="32"/>
        <v>106.43999999999998</v>
      </c>
      <c r="F104" s="111">
        <f t="shared" si="32"/>
        <v>113.83999999999999</v>
      </c>
      <c r="G104" s="111">
        <f t="shared" si="32"/>
        <v>143.63999999999999</v>
      </c>
      <c r="H104" s="111">
        <f t="shared" si="32"/>
        <v>176.44</v>
      </c>
      <c r="I104" s="111">
        <f t="shared" si="32"/>
        <v>196.03999999999996</v>
      </c>
      <c r="J104" s="111">
        <f t="shared" si="32"/>
        <v>240.94</v>
      </c>
      <c r="K104" s="111">
        <f t="shared" si="32"/>
        <v>304.33999999999997</v>
      </c>
      <c r="L104" s="111">
        <f t="shared" si="32"/>
        <v>329.04</v>
      </c>
      <c r="M104" s="111">
        <f t="shared" si="32"/>
        <v>324.04000000000002</v>
      </c>
      <c r="N104" s="111">
        <f t="shared" si="32"/>
        <v>301.64</v>
      </c>
      <c r="O104" s="111">
        <f t="shared" si="32"/>
        <v>293.14</v>
      </c>
      <c r="P104" s="111">
        <v>42</v>
      </c>
      <c r="Q104" s="111">
        <f t="shared" si="32"/>
        <v>254.00000000000003</v>
      </c>
      <c r="R104" s="111">
        <f t="shared" si="32"/>
        <v>235.2</v>
      </c>
      <c r="S104" s="111">
        <f t="shared" si="32"/>
        <v>248</v>
      </c>
      <c r="T104" s="111">
        <f t="shared" ref="T104" si="33">SUM(T16,T22,T25:T26,T52,T54:T55,T57,T59,T105:T109,T131,T137,T143,T152,T154,T166,T173,T176:T177,T184,T186,T188,T192:T194,T196:T198,T203,T209:T210,T212:T214,T222,T227)</f>
        <v>251.6</v>
      </c>
      <c r="U104" s="111">
        <f t="shared" si="32"/>
        <v>263.39999999999998</v>
      </c>
      <c r="V104" s="111">
        <f t="shared" si="32"/>
        <v>265</v>
      </c>
      <c r="W104" s="111">
        <f t="shared" si="32"/>
        <v>308.7</v>
      </c>
      <c r="X104" s="111">
        <f t="shared" si="32"/>
        <v>333.9</v>
      </c>
      <c r="Y104" s="111">
        <f t="shared" si="32"/>
        <v>363.3</v>
      </c>
      <c r="Z104" s="111">
        <f t="shared" si="32"/>
        <v>339.6</v>
      </c>
      <c r="AA104" s="111">
        <f t="shared" si="32"/>
        <v>326.40000000000003</v>
      </c>
      <c r="AB104" s="111">
        <f t="shared" si="32"/>
        <v>301.39999999999998</v>
      </c>
      <c r="AC104" s="111">
        <f t="shared" si="32"/>
        <v>281.10000000000002</v>
      </c>
      <c r="AD104" s="111">
        <f t="shared" si="32"/>
        <v>246.9</v>
      </c>
      <c r="AE104" s="111">
        <f t="shared" si="32"/>
        <v>190.9</v>
      </c>
      <c r="AF104" s="111">
        <f t="shared" si="32"/>
        <v>140.1</v>
      </c>
      <c r="AG104" s="112"/>
      <c r="AH104" s="47">
        <f t="shared" si="15"/>
        <v>363.3</v>
      </c>
      <c r="AI104" s="48">
        <f t="shared" si="16"/>
        <v>42</v>
      </c>
    </row>
    <row r="105" spans="1:35" x14ac:dyDescent="0.25">
      <c r="A105" s="100" t="s">
        <v>113</v>
      </c>
      <c r="B105" s="113">
        <v>-35.1</v>
      </c>
      <c r="C105" s="113">
        <v>-31.2</v>
      </c>
      <c r="D105" s="113">
        <v>-31.9</v>
      </c>
      <c r="E105" s="113">
        <v>-26.2</v>
      </c>
      <c r="F105" s="113">
        <v>-18.5</v>
      </c>
      <c r="G105" s="113">
        <v>-21</v>
      </c>
      <c r="H105" s="113">
        <v>-13.4</v>
      </c>
      <c r="I105" s="113">
        <v>-13.9</v>
      </c>
      <c r="J105" s="113">
        <v>1.8</v>
      </c>
      <c r="K105" s="113">
        <v>18.8</v>
      </c>
      <c r="L105" s="113">
        <v>31.2</v>
      </c>
      <c r="M105" s="113">
        <v>33</v>
      </c>
      <c r="N105" s="113">
        <v>18.399999999999999</v>
      </c>
      <c r="O105" s="113">
        <v>16.899999999999999</v>
      </c>
      <c r="P105" s="113">
        <v>16.899999999999999</v>
      </c>
      <c r="Q105" s="113">
        <v>10.4</v>
      </c>
      <c r="R105" s="113">
        <v>0</v>
      </c>
      <c r="S105" s="113">
        <v>5.4</v>
      </c>
      <c r="T105" s="113">
        <v>2.5</v>
      </c>
      <c r="U105" s="113">
        <v>-0.7</v>
      </c>
      <c r="V105" s="113">
        <v>5</v>
      </c>
      <c r="W105" s="113">
        <v>16.5</v>
      </c>
      <c r="X105" s="113">
        <v>28.4</v>
      </c>
      <c r="Y105" s="113">
        <v>30.2</v>
      </c>
      <c r="Z105" s="113">
        <v>33</v>
      </c>
      <c r="AA105" s="113">
        <v>35.200000000000003</v>
      </c>
      <c r="AB105" s="113">
        <v>18.5</v>
      </c>
      <c r="AC105" s="113">
        <v>15.5</v>
      </c>
      <c r="AD105" s="113">
        <v>7.2</v>
      </c>
      <c r="AE105" s="113">
        <v>-8.9</v>
      </c>
      <c r="AF105" s="113">
        <v>-33.700000000000003</v>
      </c>
      <c r="AG105" s="114">
        <v>75</v>
      </c>
      <c r="AH105" s="47">
        <f t="shared" si="15"/>
        <v>35.200000000000003</v>
      </c>
      <c r="AI105" s="48">
        <f t="shared" si="16"/>
        <v>-35.1</v>
      </c>
    </row>
    <row r="106" spans="1:35" x14ac:dyDescent="0.25">
      <c r="A106" s="103" t="s">
        <v>114</v>
      </c>
      <c r="B106" s="115">
        <v>42.2</v>
      </c>
      <c r="C106" s="115">
        <v>-38.1</v>
      </c>
      <c r="D106" s="115">
        <v>-37.9</v>
      </c>
      <c r="E106" s="115">
        <v>-32.200000000000003</v>
      </c>
      <c r="F106" s="115">
        <v>-22.9</v>
      </c>
      <c r="G106" s="115">
        <v>-26.9</v>
      </c>
      <c r="H106" s="115">
        <v>-17</v>
      </c>
      <c r="I106" s="115">
        <v>-17</v>
      </c>
      <c r="J106" s="115">
        <v>1.6</v>
      </c>
      <c r="K106" s="115">
        <v>22.7</v>
      </c>
      <c r="L106" s="115">
        <v>38.700000000000003</v>
      </c>
      <c r="M106" s="115">
        <v>41.4</v>
      </c>
      <c r="N106" s="115">
        <v>21.7</v>
      </c>
      <c r="O106" s="115">
        <v>21.7</v>
      </c>
      <c r="P106" s="115">
        <v>21.7</v>
      </c>
      <c r="Q106" s="115">
        <v>17</v>
      </c>
      <c r="R106" s="115">
        <v>2.9</v>
      </c>
      <c r="S106" s="115">
        <v>12.7</v>
      </c>
      <c r="T106" s="115">
        <v>6.8</v>
      </c>
      <c r="U106" s="115">
        <v>2.8</v>
      </c>
      <c r="V106" s="115">
        <v>2.4</v>
      </c>
      <c r="W106" s="115">
        <v>18</v>
      </c>
      <c r="X106" s="115">
        <v>32.9</v>
      </c>
      <c r="Y106" s="115">
        <v>35.1</v>
      </c>
      <c r="Z106" s="115">
        <v>40.4</v>
      </c>
      <c r="AA106" s="115">
        <v>42.9</v>
      </c>
      <c r="AB106" s="115">
        <v>20.7</v>
      </c>
      <c r="AC106" s="115">
        <v>15.5</v>
      </c>
      <c r="AD106" s="115">
        <v>8.3000000000000007</v>
      </c>
      <c r="AE106" s="115">
        <v>-15.5</v>
      </c>
      <c r="AF106" s="115">
        <v>-41.8</v>
      </c>
      <c r="AG106" s="114">
        <v>240</v>
      </c>
      <c r="AH106" s="47">
        <f t="shared" si="15"/>
        <v>42.9</v>
      </c>
      <c r="AI106" s="48">
        <f t="shared" si="16"/>
        <v>-41.8</v>
      </c>
    </row>
    <row r="107" spans="1:35" x14ac:dyDescent="0.25">
      <c r="A107" s="103" t="s">
        <v>115</v>
      </c>
      <c r="B107" s="115">
        <v>6</v>
      </c>
      <c r="C107" s="115">
        <v>0.5</v>
      </c>
      <c r="D107" s="115">
        <v>0</v>
      </c>
      <c r="E107" s="115">
        <v>-18.899999999999999</v>
      </c>
      <c r="F107" s="115">
        <v>-19.3</v>
      </c>
      <c r="G107" s="115">
        <v>-3.9</v>
      </c>
      <c r="H107" s="115">
        <v>3.3</v>
      </c>
      <c r="I107" s="115">
        <v>19.600000000000001</v>
      </c>
      <c r="J107" s="115">
        <v>19</v>
      </c>
      <c r="K107" s="115">
        <v>33</v>
      </c>
      <c r="L107" s="115">
        <v>30</v>
      </c>
      <c r="M107" s="115">
        <v>23.6</v>
      </c>
      <c r="N107" s="115">
        <f>17+19</f>
        <v>36</v>
      </c>
      <c r="O107" s="115">
        <f>17+19</f>
        <v>36</v>
      </c>
      <c r="P107" s="115">
        <f t="shared" ref="P107" si="34">17+19</f>
        <v>36</v>
      </c>
      <c r="Q107" s="115">
        <v>12</v>
      </c>
      <c r="R107" s="115">
        <f>5.7+6.9</f>
        <v>12.600000000000001</v>
      </c>
      <c r="S107" s="115">
        <v>12.3</v>
      </c>
      <c r="T107" s="115">
        <v>17.2</v>
      </c>
      <c r="U107" s="115">
        <v>27</v>
      </c>
      <c r="V107" s="115">
        <v>21</v>
      </c>
      <c r="W107" s="115">
        <v>35.1</v>
      </c>
      <c r="X107" s="115">
        <v>47.3</v>
      </c>
      <c r="Y107" s="115">
        <v>63.3</v>
      </c>
      <c r="Z107" s="115">
        <v>49.6</v>
      </c>
      <c r="AA107" s="115">
        <v>50.9</v>
      </c>
      <c r="AB107" s="115">
        <v>40</v>
      </c>
      <c r="AC107" s="115">
        <v>33</v>
      </c>
      <c r="AD107" s="115">
        <v>26</v>
      </c>
      <c r="AE107" s="115">
        <v>16.399999999999999</v>
      </c>
      <c r="AF107" s="115">
        <v>12.1</v>
      </c>
      <c r="AG107" s="114">
        <v>240</v>
      </c>
      <c r="AH107" s="47">
        <f t="shared" si="15"/>
        <v>63.3</v>
      </c>
      <c r="AI107" s="48">
        <f t="shared" si="16"/>
        <v>-19.3</v>
      </c>
    </row>
    <row r="108" spans="1:35" x14ac:dyDescent="0.25">
      <c r="A108" s="103" t="s">
        <v>116</v>
      </c>
      <c r="B108" s="115">
        <v>0</v>
      </c>
      <c r="C108" s="115">
        <v>-0.4</v>
      </c>
      <c r="D108" s="115">
        <v>-1.8</v>
      </c>
      <c r="E108" s="115">
        <v>-3.8</v>
      </c>
      <c r="F108" s="115">
        <v>-5.7</v>
      </c>
      <c r="G108" s="115">
        <v>-7.9</v>
      </c>
      <c r="H108" s="115">
        <v>-7.1</v>
      </c>
      <c r="I108" s="115">
        <v>-3.5</v>
      </c>
      <c r="J108" s="115">
        <v>2.2999999999999998</v>
      </c>
      <c r="K108" s="115">
        <v>9.3000000000000007</v>
      </c>
      <c r="L108" s="115">
        <v>12.9</v>
      </c>
      <c r="M108" s="115">
        <v>12.8</v>
      </c>
      <c r="N108" s="115">
        <v>11</v>
      </c>
      <c r="O108" s="115">
        <v>11.2</v>
      </c>
      <c r="P108" s="115">
        <v>11.2</v>
      </c>
      <c r="Q108" s="115">
        <v>1.8</v>
      </c>
      <c r="R108" s="115">
        <v>0.3</v>
      </c>
      <c r="S108" s="115">
        <v>1.7</v>
      </c>
      <c r="T108" s="115">
        <v>10.6</v>
      </c>
      <c r="U108" s="115">
        <v>21.6</v>
      </c>
      <c r="V108" s="115">
        <v>22</v>
      </c>
      <c r="W108" s="115">
        <v>22.6</v>
      </c>
      <c r="X108" s="115">
        <v>45</v>
      </c>
      <c r="Y108" s="115">
        <v>44</v>
      </c>
      <c r="Z108" s="115">
        <v>35.200000000000003</v>
      </c>
      <c r="AA108" s="115">
        <v>19.3</v>
      </c>
      <c r="AB108" s="115">
        <v>13.7</v>
      </c>
      <c r="AC108" s="115">
        <v>10.5</v>
      </c>
      <c r="AD108" s="115">
        <v>5.5</v>
      </c>
      <c r="AE108" s="115">
        <v>1.5</v>
      </c>
      <c r="AF108" s="115">
        <v>1</v>
      </c>
      <c r="AG108" s="114">
        <v>60</v>
      </c>
      <c r="AH108" s="47">
        <f t="shared" si="15"/>
        <v>45</v>
      </c>
      <c r="AI108" s="48">
        <f t="shared" si="16"/>
        <v>-7.9</v>
      </c>
    </row>
    <row r="109" spans="1:35" x14ac:dyDescent="0.25">
      <c r="A109" s="116" t="s">
        <v>117</v>
      </c>
      <c r="B109" s="117">
        <v>89.8</v>
      </c>
      <c r="C109" s="117">
        <v>81.599999999999994</v>
      </c>
      <c r="D109" s="117">
        <v>78.3</v>
      </c>
      <c r="E109" s="117">
        <v>87</v>
      </c>
      <c r="F109" s="117">
        <v>79.7</v>
      </c>
      <c r="G109" s="117">
        <v>102.8</v>
      </c>
      <c r="H109" s="117">
        <v>110.1</v>
      </c>
      <c r="I109" s="117">
        <v>110.3</v>
      </c>
      <c r="J109" s="117">
        <v>115.7</v>
      </c>
      <c r="K109" s="117">
        <v>120</v>
      </c>
      <c r="L109" s="117">
        <v>115.7</v>
      </c>
      <c r="M109" s="117">
        <v>112.7</v>
      </c>
      <c r="N109" s="117">
        <v>106</v>
      </c>
      <c r="O109" s="117">
        <v>98.8</v>
      </c>
      <c r="P109" s="117">
        <v>98.8</v>
      </c>
      <c r="Q109" s="117">
        <v>105.4</v>
      </c>
      <c r="R109" s="117">
        <v>112</v>
      </c>
      <c r="S109" s="117">
        <v>108.3</v>
      </c>
      <c r="T109" s="117">
        <v>106.9</v>
      </c>
      <c r="U109" s="117">
        <v>105.1</v>
      </c>
      <c r="V109" s="117">
        <v>107</v>
      </c>
      <c r="W109" s="117">
        <v>111.1</v>
      </c>
      <c r="X109" s="117">
        <v>74.900000000000006</v>
      </c>
      <c r="Y109" s="117">
        <v>93.8</v>
      </c>
      <c r="Z109" s="117">
        <v>84.5</v>
      </c>
      <c r="AA109" s="117">
        <v>81.2</v>
      </c>
      <c r="AB109" s="117">
        <v>111.6</v>
      </c>
      <c r="AC109" s="117">
        <v>109.8</v>
      </c>
      <c r="AD109" s="117">
        <v>103.1</v>
      </c>
      <c r="AE109" s="117">
        <v>100.6</v>
      </c>
      <c r="AF109" s="117">
        <v>100.6</v>
      </c>
      <c r="AG109" s="118">
        <v>120</v>
      </c>
      <c r="AH109" s="47">
        <f t="shared" si="15"/>
        <v>120</v>
      </c>
      <c r="AI109" s="48">
        <f t="shared" si="16"/>
        <v>74.900000000000006</v>
      </c>
    </row>
    <row r="110" spans="1:35" x14ac:dyDescent="0.25">
      <c r="A110" s="116" t="s">
        <v>118</v>
      </c>
      <c r="B110" s="117">
        <v>82.3</v>
      </c>
      <c r="C110" s="117">
        <v>78.2</v>
      </c>
      <c r="D110" s="117">
        <v>79.3</v>
      </c>
      <c r="E110" s="117">
        <v>89</v>
      </c>
      <c r="F110" s="117">
        <v>82.5</v>
      </c>
      <c r="G110" s="117">
        <v>99.8</v>
      </c>
      <c r="H110" s="117">
        <v>104.4</v>
      </c>
      <c r="I110" s="117">
        <v>91</v>
      </c>
      <c r="J110" s="117">
        <v>85.8</v>
      </c>
      <c r="K110" s="117">
        <v>85.7</v>
      </c>
      <c r="L110" s="117">
        <v>81.2</v>
      </c>
      <c r="M110" s="117">
        <v>75.900000000000006</v>
      </c>
      <c r="N110" s="117">
        <v>93.2</v>
      </c>
      <c r="O110" s="117">
        <v>95.1</v>
      </c>
      <c r="P110" s="117">
        <v>95.1</v>
      </c>
      <c r="Q110" s="117">
        <v>77</v>
      </c>
      <c r="R110" s="117">
        <v>84.6</v>
      </c>
      <c r="S110" s="117">
        <v>78.8</v>
      </c>
      <c r="T110" s="117">
        <v>75.3</v>
      </c>
      <c r="U110" s="117">
        <v>73.8</v>
      </c>
      <c r="V110" s="117">
        <v>80</v>
      </c>
      <c r="W110" s="117">
        <v>82.5</v>
      </c>
      <c r="X110" s="117">
        <v>72.3</v>
      </c>
      <c r="Y110" s="117">
        <v>86.7</v>
      </c>
      <c r="Z110" s="117">
        <v>73.599999999999994</v>
      </c>
      <c r="AA110" s="117">
        <v>78.3</v>
      </c>
      <c r="AB110" s="117">
        <v>87.6</v>
      </c>
      <c r="AC110" s="117">
        <v>85</v>
      </c>
      <c r="AD110" s="117">
        <v>81.599999999999994</v>
      </c>
      <c r="AE110" s="117">
        <v>82.6</v>
      </c>
      <c r="AF110" s="117">
        <v>89</v>
      </c>
      <c r="AG110" s="118"/>
      <c r="AH110" s="47">
        <f t="shared" si="15"/>
        <v>104.4</v>
      </c>
      <c r="AI110" s="48">
        <f t="shared" si="16"/>
        <v>72.3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>
        <v>56.3</v>
      </c>
      <c r="I111" s="117">
        <v>59.2</v>
      </c>
      <c r="J111" s="117">
        <v>47.4</v>
      </c>
      <c r="K111" s="117">
        <v>36.700000000000003</v>
      </c>
      <c r="L111" s="117">
        <v>22.5</v>
      </c>
      <c r="M111" s="117">
        <v>20.5</v>
      </c>
      <c r="N111" s="117">
        <v>26.7</v>
      </c>
      <c r="O111" s="117">
        <v>32.4</v>
      </c>
      <c r="P111" s="117">
        <v>32.4</v>
      </c>
      <c r="Q111" s="117">
        <v>31.3</v>
      </c>
      <c r="R111" s="117">
        <v>30.8</v>
      </c>
      <c r="S111" s="117">
        <v>23.5</v>
      </c>
      <c r="T111" s="117">
        <v>30.5</v>
      </c>
      <c r="U111" s="117">
        <v>37.4</v>
      </c>
      <c r="V111" s="117">
        <v>47</v>
      </c>
      <c r="W111" s="117">
        <v>32.6</v>
      </c>
      <c r="X111" s="117">
        <v>23.3</v>
      </c>
      <c r="Y111" s="117">
        <v>29.3</v>
      </c>
      <c r="Z111" s="117">
        <v>24.8</v>
      </c>
      <c r="AA111" s="117">
        <v>22.9</v>
      </c>
      <c r="AB111" s="117">
        <v>32.799999999999997</v>
      </c>
      <c r="AC111" s="117">
        <v>37.299999999999997</v>
      </c>
      <c r="AD111" s="117">
        <v>39.1</v>
      </c>
      <c r="AE111" s="117">
        <v>49.4</v>
      </c>
      <c r="AF111" s="117">
        <v>53.1</v>
      </c>
      <c r="AG111" s="119"/>
      <c r="AH111" s="47">
        <f t="shared" si="15"/>
        <v>59.2</v>
      </c>
      <c r="AI111" s="48">
        <f t="shared" si="16"/>
        <v>20.5</v>
      </c>
    </row>
    <row r="112" spans="1:35" x14ac:dyDescent="0.25">
      <c r="A112" s="120" t="s">
        <v>120</v>
      </c>
      <c r="B112" s="106">
        <v>-1.3</v>
      </c>
      <c r="C112" s="106">
        <v>3.5</v>
      </c>
      <c r="D112" s="106">
        <v>4.5</v>
      </c>
      <c r="E112" s="106">
        <v>7.5</v>
      </c>
      <c r="F112" s="106">
        <v>-3.4</v>
      </c>
      <c r="G112" s="106">
        <v>-16.399999999999999</v>
      </c>
      <c r="H112" s="106">
        <v>-18</v>
      </c>
      <c r="I112" s="106">
        <v>-22</v>
      </c>
      <c r="J112" s="106">
        <v>-32.1</v>
      </c>
      <c r="K112" s="106">
        <v>-44.6</v>
      </c>
      <c r="L112" s="106">
        <v>54.7</v>
      </c>
      <c r="M112" s="106">
        <v>-57</v>
      </c>
      <c r="N112" s="106">
        <v>-44.5</v>
      </c>
      <c r="O112" s="106">
        <v>-37.799999999999997</v>
      </c>
      <c r="P112" s="106">
        <v>-37.799999999999997</v>
      </c>
      <c r="Q112" s="106">
        <v>-20.6</v>
      </c>
      <c r="R112" s="106">
        <v>-16.8</v>
      </c>
      <c r="S112" s="106">
        <v>-24.3</v>
      </c>
      <c r="T112" s="106">
        <v>-24.9</v>
      </c>
      <c r="U112" s="106">
        <v>-25.6</v>
      </c>
      <c r="V112" s="106">
        <v>-33</v>
      </c>
      <c r="W112" s="106">
        <v>-47.3</v>
      </c>
      <c r="X112" s="106">
        <v>-63.2</v>
      </c>
      <c r="Y112" s="106"/>
      <c r="Z112" s="106">
        <v>-48.1</v>
      </c>
      <c r="AA112" s="106">
        <v>-43.7</v>
      </c>
      <c r="AB112" s="106">
        <v>-29.9</v>
      </c>
      <c r="AC112" s="106">
        <v>-26.3</v>
      </c>
      <c r="AD112" s="106">
        <v>-19.399999999999999</v>
      </c>
      <c r="AE112" s="106">
        <v>-3.9</v>
      </c>
      <c r="AF112" s="106">
        <v>0</v>
      </c>
      <c r="AG112" s="119"/>
      <c r="AH112" s="47">
        <f t="shared" si="15"/>
        <v>54.7</v>
      </c>
      <c r="AI112" s="48">
        <f t="shared" si="16"/>
        <v>-63.2</v>
      </c>
    </row>
    <row r="113" spans="1:37" ht="15.75" thickBot="1" x14ac:dyDescent="0.3">
      <c r="A113" s="120" t="s">
        <v>121</v>
      </c>
      <c r="B113" s="106">
        <v>52.2</v>
      </c>
      <c r="C113" s="106">
        <v>60.2</v>
      </c>
      <c r="D113" s="106">
        <v>51.2</v>
      </c>
      <c r="E113" s="106">
        <v>54.8</v>
      </c>
      <c r="F113" s="106">
        <v>51.7</v>
      </c>
      <c r="G113" s="106">
        <v>55</v>
      </c>
      <c r="H113" s="106">
        <v>55.7</v>
      </c>
      <c r="I113" s="106">
        <v>63.2</v>
      </c>
      <c r="J113" s="106">
        <v>74.8</v>
      </c>
      <c r="K113" s="106">
        <v>72</v>
      </c>
      <c r="L113" s="106">
        <v>77.900000000000006</v>
      </c>
      <c r="M113" s="106">
        <v>77.3</v>
      </c>
      <c r="N113" s="106">
        <v>60.1</v>
      </c>
      <c r="O113" s="106">
        <v>56.6</v>
      </c>
      <c r="P113" s="106">
        <v>56.6</v>
      </c>
      <c r="Q113" s="106">
        <v>61.5</v>
      </c>
      <c r="R113" s="106">
        <v>68.7</v>
      </c>
      <c r="S113" s="106">
        <v>86.6</v>
      </c>
      <c r="T113" s="106">
        <v>82.6</v>
      </c>
      <c r="U113" s="106">
        <v>79</v>
      </c>
      <c r="V113" s="106">
        <v>75</v>
      </c>
      <c r="W113" s="106">
        <v>67.599999999999994</v>
      </c>
      <c r="X113" s="106">
        <v>73.099999999999994</v>
      </c>
      <c r="Y113" s="106">
        <v>82</v>
      </c>
      <c r="Z113" s="106">
        <v>74.5</v>
      </c>
      <c r="AA113" s="106">
        <v>72.3</v>
      </c>
      <c r="AB113" s="106">
        <v>73.099999999999994</v>
      </c>
      <c r="AC113" s="106">
        <v>80.7</v>
      </c>
      <c r="AD113" s="106">
        <v>76.400000000000006</v>
      </c>
      <c r="AE113" s="106">
        <v>64.900000000000006</v>
      </c>
      <c r="AF113" s="106">
        <v>60.8</v>
      </c>
      <c r="AG113" s="119"/>
      <c r="AH113" s="47">
        <f t="shared" si="15"/>
        <v>86.6</v>
      </c>
      <c r="AI113" s="48">
        <f t="shared" si="16"/>
        <v>51.2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5">SUM(B115:B219)</f>
        <v>0</v>
      </c>
      <c r="C220" s="136">
        <f t="shared" si="35"/>
        <v>0</v>
      </c>
      <c r="D220" s="136">
        <f t="shared" si="35"/>
        <v>0</v>
      </c>
      <c r="E220" s="136">
        <f t="shared" si="35"/>
        <v>0</v>
      </c>
      <c r="F220" s="136">
        <f t="shared" si="35"/>
        <v>0</v>
      </c>
      <c r="G220" s="136">
        <f t="shared" si="35"/>
        <v>0</v>
      </c>
      <c r="H220" s="136">
        <f t="shared" si="35"/>
        <v>0</v>
      </c>
      <c r="I220" s="136">
        <f t="shared" si="35"/>
        <v>0</v>
      </c>
      <c r="J220" s="136">
        <f t="shared" si="35"/>
        <v>0</v>
      </c>
      <c r="K220" s="136">
        <f t="shared" si="35"/>
        <v>0</v>
      </c>
      <c r="L220" s="136">
        <f t="shared" si="35"/>
        <v>0</v>
      </c>
      <c r="M220" s="136">
        <f t="shared" si="35"/>
        <v>0</v>
      </c>
      <c r="N220" s="136">
        <f t="shared" si="35"/>
        <v>0</v>
      </c>
      <c r="O220" s="136">
        <f t="shared" si="35"/>
        <v>0</v>
      </c>
      <c r="P220" s="136">
        <f t="shared" si="35"/>
        <v>0</v>
      </c>
      <c r="Q220" s="136">
        <f t="shared" si="35"/>
        <v>0</v>
      </c>
      <c r="R220" s="136">
        <f t="shared" si="35"/>
        <v>0</v>
      </c>
      <c r="S220" s="136">
        <f t="shared" si="35"/>
        <v>0</v>
      </c>
      <c r="T220" s="136">
        <f t="shared" si="35"/>
        <v>0</v>
      </c>
      <c r="U220" s="136">
        <f t="shared" si="35"/>
        <v>0</v>
      </c>
      <c r="V220" s="136">
        <f t="shared" si="35"/>
        <v>0</v>
      </c>
      <c r="W220" s="136">
        <f t="shared" si="35"/>
        <v>0</v>
      </c>
      <c r="X220" s="136">
        <f t="shared" si="35"/>
        <v>0</v>
      </c>
      <c r="Y220" s="136">
        <f t="shared" si="35"/>
        <v>0</v>
      </c>
      <c r="Z220" s="136">
        <f t="shared" si="35"/>
        <v>0</v>
      </c>
      <c r="AA220" s="136">
        <f t="shared" si="35"/>
        <v>0</v>
      </c>
      <c r="AB220" s="136">
        <f t="shared" si="35"/>
        <v>0</v>
      </c>
      <c r="AC220" s="136">
        <f t="shared" si="35"/>
        <v>0</v>
      </c>
      <c r="AD220" s="136">
        <f t="shared" si="35"/>
        <v>0</v>
      </c>
      <c r="AE220" s="136">
        <f t="shared" si="35"/>
        <v>0</v>
      </c>
      <c r="AF220" s="137">
        <f t="shared" si="35"/>
        <v>0</v>
      </c>
      <c r="AG220" s="138">
        <f t="shared" si="35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6">AF222</f>
        <v>0</v>
      </c>
      <c r="C222" s="140">
        <v>0.3</v>
      </c>
      <c r="D222" s="140">
        <f t="shared" ref="D222:P227" si="37">C222</f>
        <v>0.3</v>
      </c>
      <c r="E222" s="140">
        <f t="shared" si="37"/>
        <v>0.3</v>
      </c>
      <c r="F222" s="140">
        <f t="shared" si="37"/>
        <v>0.3</v>
      </c>
      <c r="G222" s="140">
        <f t="shared" si="37"/>
        <v>0.3</v>
      </c>
      <c r="H222" s="140">
        <f t="shared" si="37"/>
        <v>0.3</v>
      </c>
      <c r="I222" s="140">
        <f t="shared" si="37"/>
        <v>0.3</v>
      </c>
      <c r="J222" s="140">
        <f t="shared" si="37"/>
        <v>0.3</v>
      </c>
      <c r="K222" s="140">
        <f t="shared" si="37"/>
        <v>0.3</v>
      </c>
      <c r="L222" s="140">
        <f t="shared" si="37"/>
        <v>0.3</v>
      </c>
      <c r="M222" s="140">
        <f t="shared" si="37"/>
        <v>0.3</v>
      </c>
      <c r="N222" s="140">
        <f t="shared" si="37"/>
        <v>0.3</v>
      </c>
      <c r="O222" s="140">
        <f t="shared" si="37"/>
        <v>0.3</v>
      </c>
      <c r="P222" s="140">
        <f t="shared" si="37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6"/>
        <v>0</v>
      </c>
      <c r="C223" s="128">
        <v>0.4</v>
      </c>
      <c r="D223" s="128">
        <f t="shared" si="37"/>
        <v>0.4</v>
      </c>
      <c r="E223" s="128">
        <f t="shared" si="37"/>
        <v>0.4</v>
      </c>
      <c r="F223" s="128">
        <f t="shared" si="37"/>
        <v>0.4</v>
      </c>
      <c r="G223" s="128">
        <f t="shared" si="37"/>
        <v>0.4</v>
      </c>
      <c r="H223" s="128">
        <f t="shared" si="37"/>
        <v>0.4</v>
      </c>
      <c r="I223" s="128">
        <f t="shared" si="37"/>
        <v>0.4</v>
      </c>
      <c r="J223" s="128">
        <f t="shared" si="37"/>
        <v>0.4</v>
      </c>
      <c r="K223" s="128">
        <f t="shared" si="37"/>
        <v>0.4</v>
      </c>
      <c r="L223" s="128">
        <f t="shared" si="37"/>
        <v>0.4</v>
      </c>
      <c r="M223" s="128">
        <f t="shared" si="37"/>
        <v>0.4</v>
      </c>
      <c r="N223" s="128">
        <f t="shared" si="37"/>
        <v>0.4</v>
      </c>
      <c r="O223" s="128">
        <f t="shared" si="37"/>
        <v>0.4</v>
      </c>
      <c r="P223" s="128">
        <f t="shared" si="37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6"/>
        <v>0</v>
      </c>
      <c r="C224" s="128">
        <v>1.5</v>
      </c>
      <c r="D224" s="128">
        <f t="shared" si="37"/>
        <v>1.5</v>
      </c>
      <c r="E224" s="128">
        <f t="shared" si="37"/>
        <v>1.5</v>
      </c>
      <c r="F224" s="128">
        <f t="shared" si="37"/>
        <v>1.5</v>
      </c>
      <c r="G224" s="128">
        <f t="shared" si="37"/>
        <v>1.5</v>
      </c>
      <c r="H224" s="128">
        <f t="shared" si="37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7"/>
        <v>1.5</v>
      </c>
      <c r="K224" s="128">
        <f t="shared" ca="1" si="37"/>
        <v>1.5</v>
      </c>
      <c r="L224" s="128">
        <f t="shared" ca="1" si="37"/>
        <v>1.5</v>
      </c>
      <c r="M224" s="128">
        <f t="shared" ca="1" si="37"/>
        <v>1.5</v>
      </c>
      <c r="N224" s="128">
        <f t="shared" ca="1" si="37"/>
        <v>1.5</v>
      </c>
      <c r="O224" s="128">
        <f t="shared" ca="1" si="37"/>
        <v>1.5</v>
      </c>
      <c r="P224" s="128">
        <f t="shared" ca="1" si="37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6"/>
        <v>0</v>
      </c>
      <c r="C225" s="128">
        <v>0.3</v>
      </c>
      <c r="D225" s="128">
        <f t="shared" si="37"/>
        <v>0.3</v>
      </c>
      <c r="E225" s="128">
        <f t="shared" si="37"/>
        <v>0.3</v>
      </c>
      <c r="F225" s="128">
        <f t="shared" si="37"/>
        <v>0.3</v>
      </c>
      <c r="G225" s="128">
        <f t="shared" si="37"/>
        <v>0.3</v>
      </c>
      <c r="H225" s="128">
        <f t="shared" si="37"/>
        <v>0.3</v>
      </c>
      <c r="I225" s="128">
        <f t="shared" si="37"/>
        <v>0.3</v>
      </c>
      <c r="J225" s="128">
        <f t="shared" si="37"/>
        <v>0.3</v>
      </c>
      <c r="K225" s="128">
        <f t="shared" si="37"/>
        <v>0.3</v>
      </c>
      <c r="L225" s="128">
        <f t="shared" si="37"/>
        <v>0.3</v>
      </c>
      <c r="M225" s="128">
        <f t="shared" si="37"/>
        <v>0.3</v>
      </c>
      <c r="N225" s="128">
        <f t="shared" si="37"/>
        <v>0.3</v>
      </c>
      <c r="O225" s="128">
        <f t="shared" si="37"/>
        <v>0.3</v>
      </c>
      <c r="P225" s="128">
        <f t="shared" si="37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6"/>
        <v>0</v>
      </c>
      <c r="C226" s="128">
        <v>0.4</v>
      </c>
      <c r="D226" s="128">
        <f t="shared" si="37"/>
        <v>0.4</v>
      </c>
      <c r="E226" s="128">
        <f t="shared" si="37"/>
        <v>0.4</v>
      </c>
      <c r="F226" s="128">
        <f t="shared" si="37"/>
        <v>0.4</v>
      </c>
      <c r="G226" s="128">
        <f t="shared" si="37"/>
        <v>0.4</v>
      </c>
      <c r="H226" s="128">
        <f t="shared" si="37"/>
        <v>0.4</v>
      </c>
      <c r="I226" s="128">
        <f t="shared" si="37"/>
        <v>0.4</v>
      </c>
      <c r="J226" s="128">
        <f t="shared" si="37"/>
        <v>0.4</v>
      </c>
      <c r="K226" s="128">
        <f t="shared" si="37"/>
        <v>0.4</v>
      </c>
      <c r="L226" s="128">
        <f t="shared" si="37"/>
        <v>0.4</v>
      </c>
      <c r="M226" s="128">
        <f t="shared" si="37"/>
        <v>0.4</v>
      </c>
      <c r="N226" s="128">
        <f t="shared" si="37"/>
        <v>0.4</v>
      </c>
      <c r="O226" s="128">
        <f t="shared" si="37"/>
        <v>0.4</v>
      </c>
      <c r="P226" s="128">
        <f t="shared" si="37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6"/>
        <v>0</v>
      </c>
      <c r="C227" s="132">
        <v>0.64</v>
      </c>
      <c r="D227" s="132">
        <f t="shared" si="37"/>
        <v>0.64</v>
      </c>
      <c r="E227" s="132">
        <f t="shared" si="37"/>
        <v>0.64</v>
      </c>
      <c r="F227" s="132">
        <f t="shared" si="37"/>
        <v>0.64</v>
      </c>
      <c r="G227" s="132">
        <f t="shared" si="37"/>
        <v>0.64</v>
      </c>
      <c r="H227" s="132">
        <f t="shared" si="37"/>
        <v>0.64</v>
      </c>
      <c r="I227" s="132">
        <f t="shared" si="37"/>
        <v>0.64</v>
      </c>
      <c r="J227" s="132">
        <f t="shared" si="37"/>
        <v>0.64</v>
      </c>
      <c r="K227" s="132">
        <f t="shared" si="37"/>
        <v>0.64</v>
      </c>
      <c r="L227" s="132">
        <f t="shared" si="37"/>
        <v>0.64</v>
      </c>
      <c r="M227" s="132">
        <f t="shared" si="37"/>
        <v>0.64</v>
      </c>
      <c r="N227" s="132">
        <f t="shared" si="37"/>
        <v>0.64</v>
      </c>
      <c r="O227" s="132">
        <f t="shared" si="37"/>
        <v>0.64</v>
      </c>
      <c r="P227" s="132">
        <f t="shared" si="37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8">SUM(B222:B227)</f>
        <v>0</v>
      </c>
      <c r="C228" s="136">
        <f t="shared" si="38"/>
        <v>3.54</v>
      </c>
      <c r="D228" s="136">
        <f t="shared" si="38"/>
        <v>3.54</v>
      </c>
      <c r="E228" s="136">
        <f t="shared" si="38"/>
        <v>3.54</v>
      </c>
      <c r="F228" s="136">
        <f t="shared" si="38"/>
        <v>3.54</v>
      </c>
      <c r="G228" s="136">
        <f t="shared" si="38"/>
        <v>3.54</v>
      </c>
      <c r="H228" s="136">
        <f t="shared" si="38"/>
        <v>3.54</v>
      </c>
      <c r="I228" s="136">
        <f t="shared" ca="1" si="38"/>
        <v>3.54</v>
      </c>
      <c r="J228" s="136">
        <f t="shared" ca="1" si="38"/>
        <v>3.54</v>
      </c>
      <c r="K228" s="136">
        <f t="shared" ca="1" si="38"/>
        <v>3.54</v>
      </c>
      <c r="L228" s="136">
        <f t="shared" ca="1" si="38"/>
        <v>3.54</v>
      </c>
      <c r="M228" s="136">
        <f t="shared" ca="1" si="38"/>
        <v>3.54</v>
      </c>
      <c r="N228" s="136">
        <f t="shared" ca="1" si="38"/>
        <v>3.54</v>
      </c>
      <c r="O228" s="136">
        <f t="shared" ca="1" si="38"/>
        <v>3.54</v>
      </c>
      <c r="P228" s="136">
        <f t="shared" ca="1" si="38"/>
        <v>3.54</v>
      </c>
      <c r="Q228" s="136">
        <f t="shared" si="38"/>
        <v>0</v>
      </c>
      <c r="R228" s="136">
        <f t="shared" si="38"/>
        <v>0</v>
      </c>
      <c r="S228" s="136">
        <f t="shared" si="38"/>
        <v>0</v>
      </c>
      <c r="T228" s="136">
        <f t="shared" si="38"/>
        <v>0</v>
      </c>
      <c r="U228" s="136">
        <f t="shared" si="38"/>
        <v>0</v>
      </c>
      <c r="V228" s="136">
        <f t="shared" si="38"/>
        <v>0</v>
      </c>
      <c r="W228" s="136">
        <f t="shared" si="38"/>
        <v>0</v>
      </c>
      <c r="X228" s="136">
        <f t="shared" si="38"/>
        <v>0</v>
      </c>
      <c r="Y228" s="136">
        <f t="shared" si="38"/>
        <v>0</v>
      </c>
      <c r="Z228" s="136">
        <f t="shared" si="38"/>
        <v>0</v>
      </c>
      <c r="AA228" s="136">
        <f t="shared" si="38"/>
        <v>0</v>
      </c>
      <c r="AB228" s="136">
        <f t="shared" si="38"/>
        <v>0</v>
      </c>
      <c r="AC228" s="136">
        <f t="shared" si="38"/>
        <v>0</v>
      </c>
      <c r="AD228" s="136">
        <f t="shared" si="38"/>
        <v>0</v>
      </c>
      <c r="AE228" s="136">
        <f t="shared" si="38"/>
        <v>0</v>
      </c>
      <c r="AF228" s="136">
        <f t="shared" si="38"/>
        <v>0</v>
      </c>
      <c r="AG228" s="145">
        <f t="shared" si="38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1481.04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2079/11/8)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9">B85</f>
        <v>948.04</v>
      </c>
      <c r="U242" s="170">
        <f t="shared" si="39"/>
        <v>945.24</v>
      </c>
      <c r="V242" s="170">
        <f t="shared" si="39"/>
        <v>922.94</v>
      </c>
      <c r="W242" s="170">
        <f t="shared" si="39"/>
        <v>893.6400000000001</v>
      </c>
      <c r="X242" s="170">
        <f t="shared" si="39"/>
        <v>891.24</v>
      </c>
      <c r="Y242" s="170">
        <f t="shared" si="39"/>
        <v>958.84</v>
      </c>
      <c r="Z242" s="170">
        <f t="shared" si="39"/>
        <v>1035.3399999999999</v>
      </c>
      <c r="AA242" s="170">
        <f t="shared" si="39"/>
        <v>1131.04</v>
      </c>
      <c r="AB242" s="170">
        <f t="shared" si="39"/>
        <v>1206.1399999999999</v>
      </c>
      <c r="AC242" s="170">
        <f t="shared" si="39"/>
        <v>1284.2400000000002</v>
      </c>
      <c r="AD242" s="170">
        <f t="shared" si="39"/>
        <v>1481.04</v>
      </c>
      <c r="AE242" s="170">
        <f t="shared" si="39"/>
        <v>1471.74</v>
      </c>
      <c r="AF242" s="170">
        <f t="shared" si="39"/>
        <v>1342.04</v>
      </c>
      <c r="AG242" s="170">
        <f t="shared" si="39"/>
        <v>1350.54</v>
      </c>
      <c r="AH242" s="170">
        <f t="shared" si="39"/>
        <v>1292.1399999999999</v>
      </c>
      <c r="AI242" s="170">
        <f t="shared" si="39"/>
        <v>1193.6400000000001</v>
      </c>
      <c r="AJ242" s="170">
        <f t="shared" si="39"/>
        <v>1266.6399999999999</v>
      </c>
      <c r="AK242" s="170">
        <f t="shared" si="39"/>
        <v>1279.04</v>
      </c>
      <c r="AL242" s="170">
        <f t="shared" si="39"/>
        <v>1263.6399999999999</v>
      </c>
      <c r="AM242" s="170">
        <f t="shared" si="39"/>
        <v>1265.24</v>
      </c>
      <c r="AN242" s="170">
        <f t="shared" si="39"/>
        <v>1326.24</v>
      </c>
      <c r="AO242" s="170">
        <f t="shared" si="39"/>
        <v>1277.7399999999998</v>
      </c>
      <c r="AP242" s="170">
        <f t="shared" si="39"/>
        <v>1315.8400000000001</v>
      </c>
      <c r="AQ242" s="170">
        <f t="shared" si="39"/>
        <v>1579.1399999999999</v>
      </c>
      <c r="AR242" s="170">
        <f t="shared" si="39"/>
        <v>1609.74</v>
      </c>
      <c r="AS242" s="170">
        <f t="shared" si="39"/>
        <v>1468.04</v>
      </c>
      <c r="AT242" s="170">
        <f t="shared" si="39"/>
        <v>1367.54</v>
      </c>
      <c r="AU242" s="170">
        <f t="shared" si="39"/>
        <v>1329.44</v>
      </c>
      <c r="AV242" s="170">
        <f t="shared" si="39"/>
        <v>1261.6399999999999</v>
      </c>
      <c r="AW242" s="170">
        <f t="shared" si="39"/>
        <v>1138.3400000000001</v>
      </c>
      <c r="AX242" s="170">
        <f t="shared" si="39"/>
        <v>1043.44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40">C227</f>
        <v>0.64</v>
      </c>
      <c r="C263" s="173">
        <f t="shared" si="40"/>
        <v>0.64</v>
      </c>
      <c r="D263" s="173">
        <f t="shared" si="40"/>
        <v>0.64</v>
      </c>
      <c r="E263" s="173">
        <f t="shared" si="40"/>
        <v>0.64</v>
      </c>
      <c r="F263" s="173">
        <f t="shared" si="40"/>
        <v>0.64</v>
      </c>
      <c r="G263" s="173">
        <f t="shared" si="40"/>
        <v>0.64</v>
      </c>
      <c r="H263" s="173">
        <f t="shared" si="40"/>
        <v>0.64</v>
      </c>
      <c r="I263" s="173">
        <f t="shared" si="40"/>
        <v>0.64</v>
      </c>
      <c r="J263" s="173">
        <f t="shared" si="40"/>
        <v>0.64</v>
      </c>
      <c r="K263" s="173">
        <f t="shared" si="40"/>
        <v>0.64</v>
      </c>
      <c r="L263" s="173">
        <f t="shared" si="40"/>
        <v>0.64</v>
      </c>
      <c r="M263" s="173">
        <f t="shared" si="40"/>
        <v>0.64</v>
      </c>
      <c r="N263" s="173">
        <f t="shared" si="40"/>
        <v>0.64</v>
      </c>
      <c r="O263" s="173">
        <f t="shared" si="40"/>
        <v>0.64</v>
      </c>
      <c r="P263" s="173">
        <f t="shared" si="40"/>
        <v>0</v>
      </c>
      <c r="Q263" s="173">
        <f t="shared" si="40"/>
        <v>0</v>
      </c>
      <c r="R263" s="173">
        <f t="shared" si="40"/>
        <v>0</v>
      </c>
      <c r="S263" s="173">
        <f t="shared" si="40"/>
        <v>0</v>
      </c>
      <c r="T263" s="173">
        <f t="shared" si="40"/>
        <v>0</v>
      </c>
      <c r="U263" s="173">
        <f t="shared" si="40"/>
        <v>0</v>
      </c>
      <c r="V263" s="173">
        <f t="shared" si="40"/>
        <v>0</v>
      </c>
      <c r="W263" s="173">
        <f t="shared" si="40"/>
        <v>0</v>
      </c>
      <c r="X263" s="173">
        <f t="shared" si="40"/>
        <v>0</v>
      </c>
      <c r="Y263" s="173">
        <f t="shared" si="40"/>
        <v>0</v>
      </c>
      <c r="Z263" s="173">
        <f t="shared" si="40"/>
        <v>0</v>
      </c>
      <c r="AA263" s="173">
        <f t="shared" si="40"/>
        <v>0</v>
      </c>
      <c r="AB263" s="173">
        <f t="shared" si="40"/>
        <v>0</v>
      </c>
      <c r="AC263" s="173">
        <f t="shared" si="40"/>
        <v>0</v>
      </c>
      <c r="AD263" s="173">
        <f t="shared" si="40"/>
        <v>0</v>
      </c>
      <c r="AE263" s="173">
        <f t="shared" si="40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41">IF(B231&lt;100,"",B231-520)</f>
        <v/>
      </c>
      <c r="C264" s="174" t="str">
        <f t="shared" si="41"/>
        <v/>
      </c>
      <c r="D264" s="174" t="str">
        <f t="shared" si="41"/>
        <v/>
      </c>
      <c r="E264" s="174" t="str">
        <f t="shared" si="41"/>
        <v/>
      </c>
      <c r="F264" s="174" t="str">
        <f t="shared" si="41"/>
        <v/>
      </c>
      <c r="G264" s="174" t="str">
        <f t="shared" si="41"/>
        <v/>
      </c>
      <c r="H264" s="174" t="str">
        <f t="shared" si="41"/>
        <v/>
      </c>
      <c r="I264" s="174" t="str">
        <f t="shared" si="41"/>
        <v/>
      </c>
      <c r="J264" s="174" t="str">
        <f t="shared" si="41"/>
        <v/>
      </c>
      <c r="K264" s="174" t="str">
        <f t="shared" si="41"/>
        <v/>
      </c>
      <c r="L264" s="174" t="str">
        <f t="shared" si="41"/>
        <v/>
      </c>
      <c r="M264" s="174" t="str">
        <f t="shared" si="41"/>
        <v/>
      </c>
      <c r="N264" s="174" t="str">
        <f t="shared" si="41"/>
        <v/>
      </c>
      <c r="O264" s="174" t="str">
        <f t="shared" si="41"/>
        <v/>
      </c>
      <c r="P264" s="174" t="str">
        <f t="shared" si="41"/>
        <v/>
      </c>
      <c r="Q264" s="174" t="str">
        <f t="shared" si="41"/>
        <v/>
      </c>
      <c r="R264" s="174" t="str">
        <f t="shared" si="41"/>
        <v/>
      </c>
      <c r="S264" s="174" t="str">
        <f t="shared" si="41"/>
        <v/>
      </c>
      <c r="T264" s="174" t="str">
        <f t="shared" si="41"/>
        <v/>
      </c>
      <c r="U264" s="174" t="str">
        <f t="shared" si="41"/>
        <v/>
      </c>
      <c r="V264" s="174" t="str">
        <f t="shared" si="41"/>
        <v/>
      </c>
      <c r="W264" s="174" t="str">
        <f t="shared" si="41"/>
        <v/>
      </c>
      <c r="X264" s="174" t="str">
        <f t="shared" si="41"/>
        <v/>
      </c>
      <c r="Y264" s="174" t="str">
        <f t="shared" si="41"/>
        <v/>
      </c>
      <c r="Z264" s="174" t="str">
        <f t="shared" si="41"/>
        <v/>
      </c>
      <c r="AA264" s="174" t="str">
        <f t="shared" si="41"/>
        <v/>
      </c>
      <c r="AB264" s="174" t="str">
        <f t="shared" si="41"/>
        <v/>
      </c>
      <c r="AC264" s="174" t="str">
        <f t="shared" si="41"/>
        <v/>
      </c>
      <c r="AD264" s="174" t="str">
        <f t="shared" si="41"/>
        <v/>
      </c>
      <c r="AE264" s="174" t="str">
        <f t="shared" si="41"/>
        <v/>
      </c>
      <c r="AF264" s="174" t="str">
        <f t="shared" si="41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42">IF(B232&lt;100,"",B232-620)</f>
        <v/>
      </c>
      <c r="C265" s="174" t="str">
        <f t="shared" si="42"/>
        <v/>
      </c>
      <c r="D265" s="174" t="str">
        <f t="shared" si="42"/>
        <v/>
      </c>
      <c r="E265" s="174" t="str">
        <f t="shared" si="42"/>
        <v/>
      </c>
      <c r="F265" s="174" t="str">
        <f t="shared" si="42"/>
        <v/>
      </c>
      <c r="G265" s="174" t="str">
        <f t="shared" si="42"/>
        <v/>
      </c>
      <c r="H265" s="174" t="str">
        <f t="shared" si="42"/>
        <v/>
      </c>
      <c r="I265" s="174" t="str">
        <f t="shared" si="42"/>
        <v/>
      </c>
      <c r="J265" s="174" t="str">
        <f t="shared" si="42"/>
        <v/>
      </c>
      <c r="K265" s="174" t="str">
        <f t="shared" si="42"/>
        <v/>
      </c>
      <c r="L265" s="174" t="str">
        <f t="shared" si="42"/>
        <v/>
      </c>
      <c r="M265" s="174" t="str">
        <f t="shared" si="42"/>
        <v/>
      </c>
      <c r="N265" s="174" t="str">
        <f t="shared" si="42"/>
        <v/>
      </c>
      <c r="O265" s="174" t="str">
        <f t="shared" si="42"/>
        <v/>
      </c>
      <c r="P265" s="174" t="str">
        <f t="shared" si="42"/>
        <v/>
      </c>
      <c r="Q265" s="174" t="str">
        <f t="shared" si="42"/>
        <v/>
      </c>
      <c r="R265" s="174" t="str">
        <f t="shared" si="42"/>
        <v/>
      </c>
      <c r="S265" s="174" t="str">
        <f t="shared" si="42"/>
        <v/>
      </c>
      <c r="T265" s="174" t="str">
        <f t="shared" si="42"/>
        <v/>
      </c>
      <c r="U265" s="174" t="str">
        <f t="shared" si="42"/>
        <v/>
      </c>
      <c r="V265" s="174" t="str">
        <f t="shared" si="42"/>
        <v/>
      </c>
      <c r="W265" s="174" t="str">
        <f t="shared" si="42"/>
        <v/>
      </c>
      <c r="X265" s="174" t="str">
        <f t="shared" si="42"/>
        <v/>
      </c>
      <c r="Y265" s="174" t="str">
        <f t="shared" si="42"/>
        <v/>
      </c>
      <c r="Z265" s="174" t="str">
        <f t="shared" si="42"/>
        <v/>
      </c>
      <c r="AA265" s="174" t="str">
        <f t="shared" si="42"/>
        <v/>
      </c>
      <c r="AB265" s="174" t="str">
        <f t="shared" si="42"/>
        <v/>
      </c>
      <c r="AC265" s="174" t="str">
        <f t="shared" si="42"/>
        <v/>
      </c>
      <c r="AD265" s="174" t="str">
        <f t="shared" si="42"/>
        <v/>
      </c>
      <c r="AE265" s="174" t="str">
        <f t="shared" si="42"/>
        <v/>
      </c>
      <c r="AF265" s="174" t="str">
        <f t="shared" si="42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43">IF(B233&lt;100,"",B233-330)</f>
        <v/>
      </c>
      <c r="C266" s="174" t="str">
        <f t="shared" si="43"/>
        <v/>
      </c>
      <c r="D266" s="174" t="str">
        <f t="shared" si="43"/>
        <v/>
      </c>
      <c r="E266" s="174" t="str">
        <f t="shared" si="43"/>
        <v/>
      </c>
      <c r="F266" s="174" t="str">
        <f t="shared" si="43"/>
        <v/>
      </c>
      <c r="G266" s="174" t="str">
        <f t="shared" si="43"/>
        <v/>
      </c>
      <c r="H266" s="174" t="str">
        <f t="shared" si="43"/>
        <v/>
      </c>
      <c r="I266" s="174" t="str">
        <f t="shared" si="43"/>
        <v/>
      </c>
      <c r="J266" s="174" t="str">
        <f t="shared" si="43"/>
        <v/>
      </c>
      <c r="K266" s="174" t="str">
        <f t="shared" si="43"/>
        <v/>
      </c>
      <c r="L266" s="174" t="str">
        <f t="shared" si="43"/>
        <v/>
      </c>
      <c r="M266" s="174" t="str">
        <f t="shared" si="43"/>
        <v/>
      </c>
      <c r="N266" s="174" t="str">
        <f t="shared" si="43"/>
        <v/>
      </c>
      <c r="O266" s="174" t="str">
        <f t="shared" si="43"/>
        <v/>
      </c>
      <c r="P266" s="174" t="str">
        <f t="shared" si="43"/>
        <v/>
      </c>
      <c r="Q266" s="174" t="str">
        <f t="shared" si="43"/>
        <v/>
      </c>
      <c r="R266" s="174" t="str">
        <f t="shared" si="43"/>
        <v/>
      </c>
      <c r="S266" s="174" t="str">
        <f t="shared" si="43"/>
        <v/>
      </c>
      <c r="T266" s="174" t="str">
        <f t="shared" si="43"/>
        <v/>
      </c>
      <c r="U266" s="174" t="str">
        <f t="shared" si="43"/>
        <v/>
      </c>
      <c r="V266" s="174" t="str">
        <f t="shared" si="43"/>
        <v/>
      </c>
      <c r="W266" s="174" t="str">
        <f t="shared" si="43"/>
        <v/>
      </c>
      <c r="X266" s="174" t="str">
        <f t="shared" si="43"/>
        <v/>
      </c>
      <c r="Y266" s="174" t="str">
        <f t="shared" si="43"/>
        <v/>
      </c>
      <c r="Z266" s="174" t="str">
        <f t="shared" si="43"/>
        <v/>
      </c>
      <c r="AA266" s="174" t="str">
        <f t="shared" si="43"/>
        <v/>
      </c>
      <c r="AB266" s="174" t="str">
        <f t="shared" si="43"/>
        <v/>
      </c>
      <c r="AC266" s="174" t="str">
        <f t="shared" si="43"/>
        <v/>
      </c>
      <c r="AD266" s="174" t="str">
        <f t="shared" si="43"/>
        <v/>
      </c>
      <c r="AE266" s="174" t="str">
        <f t="shared" si="43"/>
        <v/>
      </c>
      <c r="AF266" s="174" t="str">
        <f t="shared" si="43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4">IF(B234&lt;100,"",B234-1500)</f>
        <v/>
      </c>
      <c r="C267" s="174" t="str">
        <f t="shared" si="44"/>
        <v/>
      </c>
      <c r="D267" s="174" t="str">
        <f t="shared" si="44"/>
        <v/>
      </c>
      <c r="E267" s="174" t="str">
        <f t="shared" si="44"/>
        <v/>
      </c>
      <c r="F267" s="174" t="str">
        <f t="shared" si="44"/>
        <v/>
      </c>
      <c r="G267" s="174" t="str">
        <f t="shared" si="44"/>
        <v/>
      </c>
      <c r="H267" s="174" t="str">
        <f t="shared" si="44"/>
        <v/>
      </c>
      <c r="I267" s="174" t="str">
        <f t="shared" si="44"/>
        <v/>
      </c>
      <c r="J267" s="174" t="str">
        <f t="shared" si="44"/>
        <v/>
      </c>
      <c r="K267" s="174" t="str">
        <f t="shared" si="44"/>
        <v/>
      </c>
      <c r="L267" s="174" t="str">
        <f t="shared" si="44"/>
        <v/>
      </c>
      <c r="M267" s="174" t="str">
        <f t="shared" si="44"/>
        <v/>
      </c>
      <c r="N267" s="174" t="str">
        <f t="shared" si="44"/>
        <v/>
      </c>
      <c r="O267" s="174" t="str">
        <f t="shared" si="44"/>
        <v/>
      </c>
      <c r="P267" s="174" t="str">
        <f t="shared" si="44"/>
        <v/>
      </c>
      <c r="Q267" s="174" t="str">
        <f t="shared" si="44"/>
        <v/>
      </c>
      <c r="R267" s="174" t="str">
        <f t="shared" si="44"/>
        <v/>
      </c>
      <c r="S267" s="174" t="str">
        <f t="shared" si="44"/>
        <v/>
      </c>
      <c r="T267" s="174" t="str">
        <f t="shared" si="44"/>
        <v/>
      </c>
      <c r="U267" s="174" t="str">
        <f t="shared" si="44"/>
        <v/>
      </c>
      <c r="V267" s="174" t="str">
        <f t="shared" si="44"/>
        <v/>
      </c>
      <c r="W267" s="174" t="str">
        <f t="shared" si="44"/>
        <v/>
      </c>
      <c r="X267" s="174" t="str">
        <f t="shared" si="44"/>
        <v/>
      </c>
      <c r="Y267" s="174" t="str">
        <f t="shared" si="44"/>
        <v/>
      </c>
      <c r="Z267" s="174" t="str">
        <f t="shared" si="44"/>
        <v/>
      </c>
      <c r="AA267" s="174" t="str">
        <f t="shared" si="44"/>
        <v/>
      </c>
      <c r="AB267" s="174" t="str">
        <f t="shared" si="44"/>
        <v/>
      </c>
      <c r="AC267" s="174" t="str">
        <f t="shared" si="44"/>
        <v/>
      </c>
      <c r="AD267" s="174" t="str">
        <f t="shared" si="44"/>
        <v/>
      </c>
      <c r="AE267" s="174" t="str">
        <f t="shared" si="44"/>
        <v/>
      </c>
      <c r="AF267" s="174" t="str">
        <f t="shared" si="44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161" priority="90">
      <formula>$AH11=0</formula>
    </cfRule>
  </conditionalFormatting>
  <conditionalFormatting sqref="B8 M8 S8 AB8">
    <cfRule type="expression" dxfId="160" priority="330">
      <formula>AND(C$9&gt;=14/24,C$9&lt;20/24)</formula>
    </cfRule>
    <cfRule type="expression" dxfId="159" priority="331">
      <formula>AND(C$9&gt;=8/24,C$9&lt;14/24)</formula>
    </cfRule>
    <cfRule type="expression" dxfId="158" priority="332">
      <formula>C$9&lt;8/24</formula>
    </cfRule>
  </conditionalFormatting>
  <conditionalFormatting sqref="B45:B54">
    <cfRule type="expression" dxfId="157" priority="17">
      <formula>AND(B$9&gt;=8/24,B$9&lt;14/24)</formula>
    </cfRule>
    <cfRule type="expression" dxfId="156" priority="15">
      <formula>B$9&gt;=20/24</formula>
    </cfRule>
    <cfRule type="expression" dxfId="155" priority="16">
      <formula>AND(B$9&gt;=14/24,B$9&lt;20/24)</formula>
    </cfRule>
    <cfRule type="expression" dxfId="154" priority="18">
      <formula>B$9&lt;8/24</formula>
    </cfRule>
  </conditionalFormatting>
  <conditionalFormatting sqref="B67:D77">
    <cfRule type="expression" dxfId="149" priority="2">
      <formula>AND(B$9&gt;=14/24,B$9&lt;20/24)</formula>
    </cfRule>
    <cfRule type="expression" dxfId="148" priority="3">
      <formula>AND(B$9&gt;=8/24,B$9&lt;14/24)</formula>
    </cfRule>
    <cfRule type="expression" dxfId="147" priority="4">
      <formula>B$9&lt;8/24</formula>
    </cfRule>
    <cfRule type="expression" dxfId="146" priority="1">
      <formula>B$9&gt;=20/24</formula>
    </cfRule>
  </conditionalFormatting>
  <conditionalFormatting sqref="B11:O41 P16:X41">
    <cfRule type="expression" dxfId="145" priority="85">
      <formula>B11&gt;$AG11</formula>
    </cfRule>
    <cfRule type="expression" dxfId="144" priority="89">
      <formula>B$9&lt;8/24</formula>
    </cfRule>
    <cfRule type="expression" dxfId="143" priority="86">
      <formula>B$9&gt;=20/24</formula>
    </cfRule>
    <cfRule type="expression" dxfId="142" priority="87">
      <formula>AND(B$9&gt;=14/24,B$9&lt;20/24)</formula>
    </cfRule>
    <cfRule type="expression" dxfId="141" priority="88">
      <formula>AND(B$9&gt;=8/24,B$9&lt;14/24)</formula>
    </cfRule>
  </conditionalFormatting>
  <conditionalFormatting sqref="B42:X42">
    <cfRule type="expression" dxfId="140" priority="62">
      <formula>B$9&lt;8/24</formula>
    </cfRule>
    <cfRule type="expression" dxfId="139" priority="61">
      <formula>AND(B$9&gt;=8/24,B$9&lt;14/24)</formula>
    </cfRule>
    <cfRule type="expression" dxfId="138" priority="60">
      <formula>AND(B$9&gt;=14/24,B$9&lt;20/24)</formula>
    </cfRule>
    <cfRule type="expression" dxfId="137" priority="59">
      <formula>B$9&gt;=20/24</formula>
    </cfRule>
    <cfRule type="expression" dxfId="136" priority="58">
      <formula>B42&gt;$AG42</formula>
    </cfRule>
  </conditionalFormatting>
  <conditionalFormatting sqref="B9:AF10 B220:AF220 D222:AF223 B222:B228 D224:H224 J224:AF224 D225:AF228 U241:AF241">
    <cfRule type="expression" dxfId="135" priority="323">
      <formula>B$9&gt;=20/24</formula>
    </cfRule>
    <cfRule type="expression" dxfId="134" priority="325">
      <formula>AND(B$9&gt;=8/24,B$9&lt;14/24)</formula>
    </cfRule>
    <cfRule type="expression" dxfId="133" priority="326">
      <formula>B$9&lt;8/24</formula>
    </cfRule>
    <cfRule type="expression" dxfId="132" priority="324">
      <formula>AND(B$9&gt;=14/24,B$9&lt;20/24)</formula>
    </cfRule>
  </conditionalFormatting>
  <conditionalFormatting sqref="B43:AF43 B63:AF65">
    <cfRule type="expression" dxfId="131" priority="69">
      <formula>AND(B$9&gt;=14/24,B$9&lt;20/24)</formula>
    </cfRule>
    <cfRule type="expression" dxfId="130" priority="71">
      <formula>B$9&lt;8/24</formula>
    </cfRule>
    <cfRule type="expression" dxfId="129" priority="70">
      <formula>AND(B$9&gt;=8/24,B$9&lt;14/24)</formula>
    </cfRule>
  </conditionalFormatting>
  <conditionalFormatting sqref="B43:AF60">
    <cfRule type="expression" dxfId="128" priority="5">
      <formula>B43&gt;$AG43</formula>
    </cfRule>
  </conditionalFormatting>
  <conditionalFormatting sqref="B55:AF60">
    <cfRule type="expression" dxfId="127" priority="6">
      <formula>B$9&gt;=20/24</formula>
    </cfRule>
    <cfRule type="expression" dxfId="126" priority="7">
      <formula>AND(B$9&gt;=14/24,B$9&lt;20/24)</formula>
    </cfRule>
    <cfRule type="expression" dxfId="125" priority="8">
      <formula>AND(B$9&gt;=8/24,B$9&lt;14/24)</formula>
    </cfRule>
    <cfRule type="expression" dxfId="124" priority="9">
      <formula>B$9&lt;8/24</formula>
    </cfRule>
  </conditionalFormatting>
  <conditionalFormatting sqref="B63:AF65 B43:AF43">
    <cfRule type="expression" dxfId="123" priority="68">
      <formula>B$9&gt;=20/24</formula>
    </cfRule>
  </conditionalFormatting>
  <conditionalFormatting sqref="B63:AF65">
    <cfRule type="expression" dxfId="122" priority="67">
      <formula>B63&gt;$AG63</formula>
    </cfRule>
  </conditionalFormatting>
  <conditionalFormatting sqref="B78:AF85">
    <cfRule type="expression" dxfId="121" priority="22">
      <formula>B$9&lt;8/24</formula>
    </cfRule>
    <cfRule type="expression" dxfId="120" priority="21">
      <formula>AND(B$9&gt;=8/24,B$9&lt;14/24)</formula>
    </cfRule>
    <cfRule type="expression" dxfId="119" priority="20">
      <formula>AND(B$9&gt;=14/24,B$9&lt;20/24)</formula>
    </cfRule>
    <cfRule type="expression" dxfId="118" priority="19">
      <formula>B$9&gt;=20/24</formula>
    </cfRule>
  </conditionalFormatting>
  <conditionalFormatting sqref="B105:AF112">
    <cfRule type="expression" dxfId="113" priority="34">
      <formula>AND(B$9&gt;=8/24,B$9&lt;14/24)</formula>
    </cfRule>
    <cfRule type="expression" dxfId="112" priority="35">
      <formula>B$9&lt;8/24</formula>
    </cfRule>
    <cfRule type="expression" dxfId="111" priority="33">
      <formula>AND(B$9&gt;=14/24,B$9&lt;20/24)</formula>
    </cfRule>
    <cfRule type="expression" dxfId="110" priority="32">
      <formula>B$9&gt;=20/24</formula>
    </cfRule>
  </conditionalFormatting>
  <conditionalFormatting sqref="B61:AG62 B66:AG66">
    <cfRule type="expression" dxfId="109" priority="23">
      <formula>B61&gt;$AG61</formula>
    </cfRule>
  </conditionalFormatting>
  <conditionalFormatting sqref="B66:AG66 B87:AF103">
    <cfRule type="expression" dxfId="108" priority="27">
      <formula>B$9&lt;8/24</formula>
    </cfRule>
    <cfRule type="expression" dxfId="107" priority="25">
      <formula>AND(B$9&gt;=14/24,B$9&lt;20/24)</formula>
    </cfRule>
    <cfRule type="expression" dxfId="106" priority="26">
      <formula>AND(B$9&gt;=8/24,B$9&lt;14/24)</formula>
    </cfRule>
    <cfRule type="expression" dxfId="105" priority="24">
      <formula>B$9&gt;=20/24</formula>
    </cfRule>
  </conditionalFormatting>
  <conditionalFormatting sqref="C49:N51">
    <cfRule type="expression" dxfId="104" priority="181">
      <formula>C$9&gt;=20/24</formula>
    </cfRule>
    <cfRule type="expression" dxfId="103" priority="184">
      <formula>C$9&lt;8/24</formula>
    </cfRule>
    <cfRule type="expression" dxfId="102" priority="183">
      <formula>AND(C$9&gt;=8/24,C$9&lt;14/24)</formula>
    </cfRule>
    <cfRule type="expression" dxfId="101" priority="182">
      <formula>AND(C$9&gt;=14/24,C$9&lt;20/24)</formula>
    </cfRule>
  </conditionalFormatting>
  <conditionalFormatting sqref="C54:O54">
    <cfRule type="expression" dxfId="100" priority="171">
      <formula>C$9&gt;=20/24</formula>
    </cfRule>
    <cfRule type="expression" dxfId="99" priority="172">
      <formula>AND(C$9&gt;=14/24,C$9&lt;20/24)</formula>
    </cfRule>
    <cfRule type="expression" dxfId="98" priority="173">
      <formula>AND(C$9&gt;=8/24,C$9&lt;14/24)</formula>
    </cfRule>
    <cfRule type="expression" dxfId="97" priority="174">
      <formula>C$9&lt;8/24</formula>
    </cfRule>
  </conditionalFormatting>
  <conditionalFormatting sqref="C45:AF48">
    <cfRule type="expression" dxfId="96" priority="141">
      <formula>AND(C$9&gt;=8/24,C$9&lt;14/24)</formula>
    </cfRule>
    <cfRule type="expression" dxfId="95" priority="140">
      <formula>AND(C$9&gt;=14/24,C$9&lt;20/24)</formula>
    </cfRule>
    <cfRule type="expression" dxfId="94" priority="142">
      <formula>C$9&lt;8/24</formula>
    </cfRule>
    <cfRule type="expression" dxfId="93" priority="139">
      <formula>C$9&gt;=20/24</formula>
    </cfRule>
  </conditionalFormatting>
  <conditionalFormatting sqref="E70:W72 X71:AF72">
    <cfRule type="expression" dxfId="88" priority="178">
      <formula>AND(E$9&gt;=8/24,E$9&lt;14/24)</formula>
    </cfRule>
    <cfRule type="expression" dxfId="87" priority="176">
      <formula>E$9&gt;=20/24</formula>
    </cfRule>
    <cfRule type="expression" dxfId="86" priority="177">
      <formula>AND(E$9&gt;=14/24,E$9&lt;20/24)</formula>
    </cfRule>
    <cfRule type="expression" dxfId="85" priority="179">
      <formula>E$9&lt;8/24</formula>
    </cfRule>
  </conditionalFormatting>
  <conditionalFormatting sqref="E67:AF68 E69:AE69 AF69:AF70 X70:AE70">
    <cfRule type="expression" dxfId="84" priority="284">
      <formula>E$9&gt;=20/24</formula>
    </cfRule>
    <cfRule type="expression" dxfId="83" priority="285">
      <formula>AND(E$9&gt;=14/24,E$9&lt;20/24)</formula>
    </cfRule>
    <cfRule type="expression" dxfId="82" priority="287">
      <formula>E$9&lt;8/24</formula>
    </cfRule>
    <cfRule type="expression" dxfId="81" priority="286">
      <formula>AND(E$9&gt;=8/24,E$9&lt;14/24)</formula>
    </cfRule>
  </conditionalFormatting>
  <conditionalFormatting sqref="E73:AF77">
    <cfRule type="expression" dxfId="80" priority="99">
      <formula>E$9&gt;=20/24</formula>
    </cfRule>
    <cfRule type="expression" dxfId="79" priority="102">
      <formula>E$9&lt;8/24</formula>
    </cfRule>
    <cfRule type="expression" dxfId="78" priority="100">
      <formula>AND(E$9&gt;=14/24,E$9&lt;20/24)</formula>
    </cfRule>
    <cfRule type="expression" dxfId="77" priority="101">
      <formula>AND(E$9&gt;=8/24,E$9&lt;14/24)</formula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O50:P51 AB50:AD51 AE50:AF53 Q50:R54 P52:P54">
    <cfRule type="expression" dxfId="76" priority="294">
      <formula>AND(O$9&gt;=14/24,O$9&lt;20/24)</formula>
    </cfRule>
    <cfRule type="expression" dxfId="75" priority="293">
      <formula>O$9&gt;=20/24</formula>
    </cfRule>
    <cfRule type="expression" dxfId="74" priority="296">
      <formula>O$9&lt;8/24</formula>
    </cfRule>
    <cfRule type="expression" dxfId="73" priority="295">
      <formula>AND(O$9&gt;=8/24,O$9&lt;14/24)</formula>
    </cfRule>
  </conditionalFormatting>
  <conditionalFormatting sqref="O49:R49 AB49:AF49">
    <cfRule type="expression" dxfId="72" priority="292">
      <formula>O$9&lt;8/24</formula>
    </cfRule>
    <cfRule type="expression" dxfId="71" priority="289">
      <formula>O$9&gt;=20/24</formula>
    </cfRule>
    <cfRule type="expression" dxfId="70" priority="290">
      <formula>AND(O$9&gt;=14/24,O$9&lt;20/24)</formula>
    </cfRule>
    <cfRule type="expression" dxfId="69" priority="291">
      <formula>AND(O$9&gt;=8/24,O$9&lt;14/24)</formula>
    </cfRule>
  </conditionalFormatting>
  <conditionalFormatting sqref="P11:X11">
    <cfRule type="expression" dxfId="68" priority="115">
      <formula>P$9&lt;8/24</formula>
    </cfRule>
    <cfRule type="expression" dxfId="67" priority="114">
      <formula>AND(P$9&gt;=8/24,P$9&lt;14/24)</formula>
    </cfRule>
    <cfRule type="expression" dxfId="66" priority="113">
      <formula>AND(P$9&gt;=14/24,P$9&lt;20/24)</formula>
    </cfRule>
    <cfRule type="expression" dxfId="65" priority="112">
      <formula>P$9&gt;=20/24</formula>
    </cfRule>
  </conditionalFormatting>
  <conditionalFormatting sqref="P11:X15">
    <cfRule type="expression" dxfId="64" priority="111">
      <formula>P11&gt;$AG11</formula>
    </cfRule>
  </conditionalFormatting>
  <conditionalFormatting sqref="P12:X14">
    <cfRule type="expression" dxfId="63" priority="107">
      <formula>P$9&gt;=20/24</formula>
    </cfRule>
    <cfRule type="expression" dxfId="62" priority="108">
      <formula>AND(P$9&gt;=14/24,P$9&lt;20/24)</formula>
    </cfRule>
    <cfRule type="expression" dxfId="61" priority="110">
      <formula>P$9&lt;8/24</formula>
    </cfRule>
    <cfRule type="expression" dxfId="60" priority="109">
      <formula>AND(P$9&gt;=8/24,P$9&lt;14/24)</formula>
    </cfRule>
  </conditionalFormatting>
  <conditionalFormatting sqref="P15:X15">
    <cfRule type="expression" dxfId="59" priority="200">
      <formula>AND(P$9&gt;=8/24,P$9&lt;14/24)</formula>
    </cfRule>
    <cfRule type="expression" dxfId="58" priority="199">
      <formula>AND(P$9&gt;=14/24,P$9&lt;20/24)</formula>
    </cfRule>
    <cfRule type="expression" dxfId="57" priority="198">
      <formula>P$9&gt;=20/24</formula>
    </cfRule>
    <cfRule type="expression" dxfId="56" priority="201">
      <formula>P$9&lt;8/24</formula>
    </cfRule>
  </conditionalFormatting>
  <conditionalFormatting sqref="S8 AB8 B8 M8">
    <cfRule type="expression" dxfId="55" priority="329">
      <formula>C$9&gt;=20/24</formula>
    </cfRule>
  </conditionalFormatting>
  <conditionalFormatting sqref="S8">
    <cfRule type="expression" dxfId="54" priority="302">
      <formula>U$9&gt;=20/24</formula>
    </cfRule>
    <cfRule type="expression" dxfId="53" priority="304">
      <formula>AND(U$9&gt;=8/24,U$9&lt;14/24)</formula>
    </cfRule>
    <cfRule type="expression" dxfId="52" priority="305">
      <formula>U$9&lt;8/24</formula>
    </cfRule>
    <cfRule type="expression" dxfId="51" priority="303">
      <formula>AND(U$9&gt;=14/24,U$9&lt;20/24)</formula>
    </cfRule>
  </conditionalFormatting>
  <conditionalFormatting sqref="S49:AA51 S52:AD53">
    <cfRule type="expression" dxfId="50" priority="281">
      <formula>AND(S$9&gt;=8/24,S$9&lt;14/24)</formula>
    </cfRule>
    <cfRule type="expression" dxfId="49" priority="282">
      <formula>S$9&lt;8/24</formula>
    </cfRule>
    <cfRule type="expression" dxfId="48" priority="280">
      <formula>AND(S$9&gt;=14/24,S$9&lt;20/24)</formula>
    </cfRule>
    <cfRule type="expression" dxfId="47" priority="279">
      <formula>S$9&gt;=20/24</formula>
    </cfRule>
  </conditionalFormatting>
  <conditionalFormatting sqref="S54:AF54">
    <cfRule type="expression" dxfId="46" priority="251">
      <formula>S$9&gt;=20/24</formula>
    </cfRule>
    <cfRule type="expression" dxfId="45" priority="252">
      <formula>AND(S$9&gt;=14/24,S$9&lt;20/24)</formula>
    </cfRule>
    <cfRule type="expression" dxfId="44" priority="253">
      <formula>AND(S$9&gt;=8/24,S$9&lt;14/24)</formula>
    </cfRule>
    <cfRule type="expression" dxfId="43" priority="254">
      <formula>S$9&lt;8/24</formula>
    </cfRule>
  </conditionalFormatting>
  <conditionalFormatting sqref="T241">
    <cfRule type="expression" dxfId="42" priority="345">
      <formula>AX$9&lt;8/24</formula>
    </cfRule>
    <cfRule type="expression" dxfId="41" priority="342">
      <formula>AX$9&gt;=20/24</formula>
    </cfRule>
    <cfRule type="expression" dxfId="40" priority="343">
      <formula>AND(AX$9&gt;=14/24,AX$9&lt;20/24)</formula>
    </cfRule>
    <cfRule type="expression" dxfId="39" priority="344">
      <formula>AND(AX$9&gt;=8/24,AX$9&lt;14/24)</formula>
    </cfRule>
  </conditionalFormatting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Y11:AF42">
    <cfRule type="expression" dxfId="38" priority="260">
      <formula>Y11&gt;$AG11</formula>
    </cfRule>
    <cfRule type="expression" dxfId="37" priority="265">
      <formula>Y$9&gt;=20/24</formula>
    </cfRule>
    <cfRule type="expression" dxfId="36" priority="266">
      <formula>AND(Y$9&gt;=14/24,Y$9&lt;20/24)</formula>
    </cfRule>
    <cfRule type="expression" dxfId="35" priority="267">
      <formula>AND(Y$9&gt;=8/24,Y$9&lt;14/24)</formula>
    </cfRule>
    <cfRule type="expression" dxfId="34" priority="268">
      <formula>Y$9&lt;8/24</formula>
    </cfRule>
  </conditionalFormatting>
  <conditionalFormatting sqref="AB8">
    <cfRule type="expression" dxfId="33" priority="298">
      <formula>AD$9&gt;=20/24</formula>
    </cfRule>
    <cfRule type="expression" dxfId="32" priority="299">
      <formula>AND(AD$9&gt;=14/24,AD$9&lt;20/24)</formula>
    </cfRule>
    <cfRule type="expression" dxfId="31" priority="300">
      <formula>AND(AD$9&gt;=8/24,AD$9&lt;14/24)</formula>
    </cfRule>
    <cfRule type="expression" dxfId="30" priority="301">
      <formula>AD$9&lt;8/24</formula>
    </cfRule>
  </conditionalFormatting>
  <conditionalFormatting sqref="AG44">
    <cfRule type="expression" dxfId="29" priority="255">
      <formula>AG44&gt;$AG44</formula>
    </cfRule>
  </conditionalFormatting>
  <conditionalFormatting sqref="AG48">
    <cfRule type="expression" dxfId="28" priority="236">
      <formula>AG$9&gt;=20/24</formula>
    </cfRule>
    <cfRule type="expression" dxfId="27" priority="235">
      <formula>AG48&gt;$AG48</formula>
    </cfRule>
    <cfRule type="expression" dxfId="26" priority="239">
      <formula>AG$9&lt;8/24</formula>
    </cfRule>
    <cfRule type="expression" dxfId="25" priority="238">
      <formula>AND(AG$9&gt;=8/24,AG$9&lt;14/24)</formula>
    </cfRule>
    <cfRule type="expression" dxfId="24" priority="237">
      <formula>AND(AG$9&gt;=14/24,AG$9&lt;20/24)</formula>
    </cfRule>
  </conditionalFormatting>
  <conditionalFormatting sqref="AG83">
    <cfRule type="expression" dxfId="23" priority="256">
      <formula>AG$9&gt;=20/24</formula>
    </cfRule>
    <cfRule type="expression" dxfId="22" priority="257">
      <formula>AND(AG$9&gt;=14/24,AG$9&lt;20/24)</formula>
    </cfRule>
    <cfRule type="expression" dxfId="21" priority="258">
      <formula>AND(AG$9&gt;=8/24,AG$9&lt;14/24)</formula>
    </cfRule>
    <cfRule type="expression" dxfId="20" priority="259">
      <formula>AG$9&lt;8/24</formula>
    </cfRule>
  </conditionalFormatting>
  <conditionalFormatting sqref="AG241">
    <cfRule type="expression" dxfId="19" priority="337">
      <formula>B$9&lt;8/24</formula>
    </cfRule>
    <cfRule type="expression" dxfId="18" priority="334">
      <formula>B$9&gt;=20/24</formula>
    </cfRule>
    <cfRule type="expression" dxfId="17" priority="335">
      <formula>AND(B$9&gt;=14/24,B$9&lt;20/24)</formula>
    </cfRule>
    <cfRule type="expression" dxfId="16" priority="336">
      <formula>AND(B$9&gt;=8/24,B$9&lt;14/24)</formula>
    </cfRule>
  </conditionalFormatting>
  <conditionalFormatting sqref="AH241:AX241">
    <cfRule type="expression" dxfId="15" priority="338">
      <formula>AG$9&gt;=20/24</formula>
    </cfRule>
    <cfRule type="expression" dxfId="14" priority="339">
      <formula>AND(AG$9&gt;=14/24,AG$9&lt;20/24)</formula>
    </cfRule>
    <cfRule type="expression" dxfId="13" priority="340">
      <formula>AND(AG$9&gt;=8/24,AG$9&lt;14/24)</formula>
    </cfRule>
    <cfRule type="expression" dxfId="12" priority="341">
      <formula>AG$9&lt;8/24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1" priority="350">
      <formula>AJ$9&lt;8/24</formula>
    </cfRule>
    <cfRule type="expression" dxfId="10" priority="347">
      <formula>AJ$9&gt;=20/24</formula>
    </cfRule>
    <cfRule type="expression" dxfId="9" priority="348">
      <formula>AND(AJ$9&gt;=14/24,AJ$9&lt;20/24)</formula>
    </cfRule>
    <cfRule type="expression" dxfId="8" priority="349">
      <formula>AND(AJ$9&gt;=8/24,AJ$9&lt;14/24)</formula>
    </cfRule>
  </conditionalFormatting>
  <conditionalFormatting sqref="AL74:AN74 AL80:AN80">
    <cfRule type="expression" dxfId="7" priority="98">
      <formula>AL$9&lt;8/24</formula>
    </cfRule>
    <cfRule type="expression" dxfId="6" priority="97">
      <formula>AND(AL$9&gt;=8/24,AL$9&lt;14/24)</formula>
    </cfRule>
    <cfRule type="expression" dxfId="5" priority="96">
      <formula>AND(AL$9&gt;=14/24,AL$9&lt;20/24)</formula>
    </cfRule>
    <cfRule type="expression" dxfId="4" priority="95">
      <formula>AL$9&gt;=20/24</formula>
    </cfRule>
  </conditionalFormatting>
  <conditionalFormatting sqref="AN75:AN78">
    <cfRule type="expression" dxfId="3" priority="94">
      <formula>AN$9&lt;8/24</formula>
    </cfRule>
    <cfRule type="expression" dxfId="2" priority="93">
      <formula>AND(AN$9&gt;=8/24,AN$9&lt;14/24)</formula>
    </cfRule>
    <cfRule type="expression" dxfId="1" priority="92">
      <formula>AND(AN$9&gt;=14/24,AN$9&lt;20/24)</formula>
    </cfRule>
    <cfRule type="expression" dxfId="0" priority="91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A8CC3007-C0F1-4E5D-ACA1-9F72643056A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B86910B5-1E83-417F-B702-9CE7C45A291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C198F11B-F7F1-45F5-8052-52CEAD73EB2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1574E1E2-8B7A-49C5-88A6-2659DB58E9C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10" id="{D3C15B98-60D9-4D8A-9362-A2BE929696C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47703EBB-A30C-48F8-9B35-AD52F2F3EC8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4ADE2E3B-C69F-4CF7-94BD-D0B8ABBAF1A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C2933523-F8CB-41D8-BAAD-B9A6FCDDF59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224" id="{F9674513-10A2-40D6-AFCB-6E5FF7F47DB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3" id="{EC148B99-D632-49C6-B2F0-AFD556208C4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6" id="{FE6C990D-3D0F-4455-A50A-D7F84A53AF1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5" id="{68BBE36A-EAA3-4B99-ADDE-6DA5A0C850F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4"/>
  <sheetViews>
    <sheetView zoomScale="90" zoomScaleNormal="90" workbookViewId="0">
      <pane ySplit="10" topLeftCell="A41" activePane="bottomLeft" state="frozen"/>
      <selection activeCell="Z85" sqref="Z85"/>
      <selection pane="bottomLeft" activeCell="AF49" sqref="AF4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2079/11/9</v>
      </c>
      <c r="C4" s="208"/>
      <c r="D4" s="208"/>
      <c r="E4" s="209" t="str">
        <f ca="1">"2079/"&amp;"11/"&amp;INT(MID(CELL("filename",G6),FIND("]",CELL("filename",G6))+1,200))</f>
        <v>2079/11/9</v>
      </c>
      <c r="F4" s="209"/>
      <c r="G4" s="209"/>
      <c r="H4" s="209" t="str">
        <f ca="1">TEXT(E4,"dddd")</f>
        <v>Thursday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411.7</v>
      </c>
      <c r="C5" s="30">
        <f t="shared" si="0"/>
        <v>410.09999999999997</v>
      </c>
      <c r="D5" s="30">
        <f t="shared" si="0"/>
        <v>387.2</v>
      </c>
      <c r="E5" s="30">
        <f t="shared" si="0"/>
        <v>387.8</v>
      </c>
      <c r="F5" s="30">
        <f t="shared" si="0"/>
        <v>378.1</v>
      </c>
      <c r="G5" s="30">
        <f t="shared" si="0"/>
        <v>420.4</v>
      </c>
      <c r="H5" s="30">
        <f t="shared" si="0"/>
        <v>420.9</v>
      </c>
      <c r="I5" s="30">
        <f t="shared" si="0"/>
        <v>251.6</v>
      </c>
      <c r="J5" s="30">
        <f t="shared" si="0"/>
        <v>141.69999999999999</v>
      </c>
      <c r="K5" s="30">
        <f t="shared" si="0"/>
        <v>146.1</v>
      </c>
      <c r="L5" s="30">
        <f t="shared" si="0"/>
        <v>142.6</v>
      </c>
      <c r="M5" s="30">
        <f t="shared" si="0"/>
        <v>202.8</v>
      </c>
      <c r="N5" s="30">
        <f t="shared" si="0"/>
        <v>394.2</v>
      </c>
      <c r="O5" s="30">
        <f t="shared" si="0"/>
        <v>447</v>
      </c>
      <c r="P5" s="30">
        <f t="shared" si="0"/>
        <v>486.5</v>
      </c>
      <c r="Q5" s="30">
        <f t="shared" si="0"/>
        <v>495.5</v>
      </c>
      <c r="R5" s="30">
        <f t="shared" si="0"/>
        <v>500.5</v>
      </c>
      <c r="S5" s="30">
        <f t="shared" si="0"/>
        <v>504</v>
      </c>
      <c r="T5" s="30">
        <f t="shared" si="0"/>
        <v>492</v>
      </c>
      <c r="U5" s="30">
        <f t="shared" si="0"/>
        <v>392</v>
      </c>
      <c r="V5" s="30">
        <f t="shared" si="0"/>
        <v>392</v>
      </c>
      <c r="W5" s="30">
        <f t="shared" si="0"/>
        <v>338.8</v>
      </c>
      <c r="X5" s="30">
        <f t="shared" si="0"/>
        <v>438</v>
      </c>
      <c r="Y5" s="30">
        <f t="shared" si="0"/>
        <v>304.39999999999998</v>
      </c>
      <c r="Z5" s="30">
        <f t="shared" si="0"/>
        <v>263.5</v>
      </c>
      <c r="AA5" s="30">
        <f t="shared" si="0"/>
        <v>365.8</v>
      </c>
      <c r="AB5" s="30">
        <f t="shared" si="0"/>
        <v>484.4</v>
      </c>
      <c r="AC5" s="30">
        <f t="shared" si="0"/>
        <v>487.6</v>
      </c>
      <c r="AD5" s="30">
        <f t="shared" si="0"/>
        <v>444.1</v>
      </c>
      <c r="AE5" s="30">
        <f t="shared" si="0"/>
        <v>466.6</v>
      </c>
      <c r="AF5" s="30">
        <f>B78</f>
        <v>434.5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1511MW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Load=962</v>
      </c>
      <c r="B7" s="35">
        <f t="shared" ref="B7:AF7" si="1">B85</f>
        <v>1039.04</v>
      </c>
      <c r="C7" s="35">
        <f t="shared" si="1"/>
        <v>991.24</v>
      </c>
      <c r="D7" s="35">
        <f t="shared" si="1"/>
        <v>989.6400000000001</v>
      </c>
      <c r="E7" s="35">
        <f t="shared" si="1"/>
        <v>962.04</v>
      </c>
      <c r="F7" s="35">
        <f t="shared" si="1"/>
        <v>967.1400000000001</v>
      </c>
      <c r="G7" s="35">
        <f t="shared" si="1"/>
        <v>1033.54</v>
      </c>
      <c r="H7" s="35">
        <f t="shared" si="1"/>
        <v>1095.54</v>
      </c>
      <c r="I7" s="35">
        <f t="shared" si="1"/>
        <v>1171.04</v>
      </c>
      <c r="J7" s="35">
        <f t="shared" si="1"/>
        <v>1258.2399999999998</v>
      </c>
      <c r="K7" s="35">
        <f t="shared" si="1"/>
        <v>1386.74</v>
      </c>
      <c r="L7" s="35">
        <f t="shared" si="1"/>
        <v>1415.9399999999998</v>
      </c>
      <c r="M7" s="35">
        <f t="shared" si="1"/>
        <v>1452.34</v>
      </c>
      <c r="N7" s="35">
        <f>N85</f>
        <v>1511.34</v>
      </c>
      <c r="O7" s="35">
        <f t="shared" si="1"/>
        <v>1383.74</v>
      </c>
      <c r="P7" s="35">
        <f t="shared" si="1"/>
        <v>1166.74</v>
      </c>
      <c r="Q7" s="35">
        <f t="shared" si="1"/>
        <v>1172.04</v>
      </c>
      <c r="R7" s="35">
        <f t="shared" si="1"/>
        <v>1181.04</v>
      </c>
      <c r="S7" s="35">
        <f t="shared" si="1"/>
        <v>1202.8399999999999</v>
      </c>
      <c r="T7" s="35">
        <f t="shared" si="1"/>
        <v>1266.44</v>
      </c>
      <c r="U7" s="35">
        <f t="shared" si="1"/>
        <v>1302.44</v>
      </c>
      <c r="V7" s="35">
        <f t="shared" si="1"/>
        <v>1182.44</v>
      </c>
      <c r="W7" s="35">
        <f t="shared" si="1"/>
        <v>1289.74</v>
      </c>
      <c r="X7" s="35">
        <f t="shared" si="1"/>
        <v>1388.34</v>
      </c>
      <c r="Y7" s="35">
        <f t="shared" si="1"/>
        <v>1565.24</v>
      </c>
      <c r="Z7" s="35">
        <f t="shared" si="1"/>
        <v>1513.8400000000001</v>
      </c>
      <c r="AA7" s="35">
        <f t="shared" si="1"/>
        <v>1444.74</v>
      </c>
      <c r="AB7" s="35">
        <f t="shared" si="1"/>
        <v>1380.1399999999999</v>
      </c>
      <c r="AC7" s="35">
        <f t="shared" si="1"/>
        <v>1337.1399999999999</v>
      </c>
      <c r="AD7" s="35">
        <f t="shared" si="1"/>
        <v>1204.04</v>
      </c>
      <c r="AE7" s="35">
        <f t="shared" si="1"/>
        <v>1124.6399999999999</v>
      </c>
      <c r="AF7" s="35">
        <f t="shared" si="1"/>
        <v>1038.8400000000001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17.399999999999999</v>
      </c>
      <c r="C11" s="45">
        <v>17.399999999999999</v>
      </c>
      <c r="D11" s="45">
        <v>17.399999999999999</v>
      </c>
      <c r="E11" s="45">
        <v>17.399999999999999</v>
      </c>
      <c r="F11" s="45">
        <v>16.2</v>
      </c>
      <c r="G11" s="45">
        <v>16.2</v>
      </c>
      <c r="H11" s="45">
        <v>16.2</v>
      </c>
      <c r="I11" s="45">
        <v>16.2</v>
      </c>
      <c r="J11" s="45">
        <v>16.2</v>
      </c>
      <c r="K11" s="45">
        <v>16.2</v>
      </c>
      <c r="L11" s="45">
        <v>14.3</v>
      </c>
      <c r="M11" s="45">
        <v>14.3</v>
      </c>
      <c r="N11" s="45">
        <v>14.3</v>
      </c>
      <c r="O11" s="45">
        <v>14.5</v>
      </c>
      <c r="P11" s="45">
        <v>14.5</v>
      </c>
      <c r="Q11" s="45">
        <v>14.5</v>
      </c>
      <c r="R11" s="45">
        <v>14.5</v>
      </c>
      <c r="S11" s="45">
        <v>14.5</v>
      </c>
      <c r="T11" s="45">
        <v>14.5</v>
      </c>
      <c r="U11" s="45">
        <v>14.5</v>
      </c>
      <c r="V11" s="45">
        <v>14.5</v>
      </c>
      <c r="W11" s="45">
        <v>14.5</v>
      </c>
      <c r="X11" s="45">
        <v>14.5</v>
      </c>
      <c r="Y11" s="45">
        <v>14.5</v>
      </c>
      <c r="Z11" s="45">
        <v>14.5</v>
      </c>
      <c r="AA11" s="45">
        <v>14.5</v>
      </c>
      <c r="AB11" s="45">
        <v>14.5</v>
      </c>
      <c r="AC11" s="45">
        <v>14.5</v>
      </c>
      <c r="AD11" s="45">
        <v>14.5</v>
      </c>
      <c r="AE11" s="45">
        <v>14.5</v>
      </c>
      <c r="AF11" s="45">
        <v>14.5</v>
      </c>
      <c r="AG11" s="46">
        <v>52.4</v>
      </c>
      <c r="AH11" s="47">
        <f t="shared" ref="AH11:AH74" si="2">MAX(B11:AF11)</f>
        <v>17.399999999999999</v>
      </c>
      <c r="AI11" s="48">
        <f t="shared" ref="AI11:AI74" si="3">MIN(B11:AF11)</f>
        <v>14.3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31.5</v>
      </c>
      <c r="C12" s="45">
        <v>31.5</v>
      </c>
      <c r="D12" s="45">
        <v>31.5</v>
      </c>
      <c r="E12" s="45">
        <v>31.5</v>
      </c>
      <c r="F12" s="45">
        <v>32.9</v>
      </c>
      <c r="G12" s="45">
        <v>32.9</v>
      </c>
      <c r="H12" s="45">
        <v>32.9</v>
      </c>
      <c r="I12" s="45">
        <v>32.9</v>
      </c>
      <c r="J12" s="45">
        <v>32.9</v>
      </c>
      <c r="K12" s="45">
        <v>32.9</v>
      </c>
      <c r="L12" s="45">
        <v>33.200000000000003</v>
      </c>
      <c r="M12" s="45">
        <v>33</v>
      </c>
      <c r="N12" s="45">
        <v>33</v>
      </c>
      <c r="O12" s="45">
        <v>33</v>
      </c>
      <c r="P12" s="45">
        <v>33</v>
      </c>
      <c r="Q12" s="45">
        <v>33</v>
      </c>
      <c r="R12" s="45">
        <v>33</v>
      </c>
      <c r="S12" s="45">
        <v>33</v>
      </c>
      <c r="T12" s="45">
        <v>33</v>
      </c>
      <c r="U12" s="45">
        <v>33</v>
      </c>
      <c r="V12" s="45">
        <v>33</v>
      </c>
      <c r="W12" s="45">
        <v>33</v>
      </c>
      <c r="X12" s="45">
        <v>33</v>
      </c>
      <c r="Y12" s="45">
        <v>33</v>
      </c>
      <c r="Z12" s="45">
        <v>33</v>
      </c>
      <c r="AA12" s="45">
        <v>33</v>
      </c>
      <c r="AB12" s="45">
        <v>33</v>
      </c>
      <c r="AC12" s="45">
        <v>33</v>
      </c>
      <c r="AD12" s="45">
        <v>33</v>
      </c>
      <c r="AE12" s="45">
        <v>33</v>
      </c>
      <c r="AF12" s="45">
        <v>33</v>
      </c>
      <c r="AG12" s="50">
        <v>50</v>
      </c>
      <c r="AH12" s="47">
        <f t="shared" si="2"/>
        <v>33.200000000000003</v>
      </c>
      <c r="AI12" s="48">
        <f t="shared" si="3"/>
        <v>31.5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15.4</v>
      </c>
      <c r="N13" s="45">
        <v>15.4</v>
      </c>
      <c r="O13" s="45">
        <v>15.4</v>
      </c>
      <c r="P13" s="45">
        <v>15.4</v>
      </c>
      <c r="Q13" s="45">
        <v>15.4</v>
      </c>
      <c r="R13" s="45">
        <v>15.4</v>
      </c>
      <c r="S13" s="45">
        <v>15.4</v>
      </c>
      <c r="T13" s="45">
        <v>15.4</v>
      </c>
      <c r="U13" s="45">
        <v>15.4</v>
      </c>
      <c r="V13" s="45">
        <v>15.4</v>
      </c>
      <c r="W13" s="45">
        <v>15.4</v>
      </c>
      <c r="X13" s="45">
        <v>15.4</v>
      </c>
      <c r="Y13" s="45">
        <v>15.4</v>
      </c>
      <c r="Z13" s="45">
        <v>15.4</v>
      </c>
      <c r="AA13" s="45">
        <v>15.4</v>
      </c>
      <c r="AB13" s="45">
        <v>15.4</v>
      </c>
      <c r="AC13" s="45">
        <v>15.4</v>
      </c>
      <c r="AD13" s="45">
        <v>15.4</v>
      </c>
      <c r="AE13" s="45">
        <v>15.4</v>
      </c>
      <c r="AF13" s="45">
        <v>15.4</v>
      </c>
      <c r="AG13" s="50">
        <v>45</v>
      </c>
      <c r="AH13" s="47">
        <f t="shared" si="2"/>
        <v>19.100000000000001</v>
      </c>
      <c r="AI13" s="48">
        <f t="shared" si="3"/>
        <v>15.4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9.5</v>
      </c>
      <c r="R14" s="45">
        <v>9.5</v>
      </c>
      <c r="S14" s="45">
        <v>9.5</v>
      </c>
      <c r="T14" s="45">
        <v>9.5</v>
      </c>
      <c r="U14" s="45">
        <v>9.5</v>
      </c>
      <c r="V14" s="45">
        <v>9.5</v>
      </c>
      <c r="W14" s="45">
        <v>9.5</v>
      </c>
      <c r="X14" s="45">
        <v>9.5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9.5</v>
      </c>
      <c r="AI14" s="48">
        <f t="shared" si="3"/>
        <v>9.5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</v>
      </c>
      <c r="C15" s="45">
        <v>16</v>
      </c>
      <c r="D15" s="45">
        <v>16</v>
      </c>
      <c r="E15" s="45">
        <v>16</v>
      </c>
      <c r="F15" s="45">
        <v>16</v>
      </c>
      <c r="G15" s="45">
        <v>16</v>
      </c>
      <c r="H15" s="45">
        <v>16</v>
      </c>
      <c r="I15" s="45">
        <v>16</v>
      </c>
      <c r="J15" s="45">
        <v>16</v>
      </c>
      <c r="K15" s="45">
        <v>16</v>
      </c>
      <c r="L15" s="45">
        <v>16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16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7.9</v>
      </c>
      <c r="C16" s="45">
        <v>7.9</v>
      </c>
      <c r="D16" s="45">
        <v>7.9</v>
      </c>
      <c r="E16" s="45">
        <v>7.9</v>
      </c>
      <c r="F16" s="45">
        <v>8.6999999999999993</v>
      </c>
      <c r="G16" s="45">
        <v>8.6999999999999993</v>
      </c>
      <c r="H16" s="45">
        <v>8.6999999999999993</v>
      </c>
      <c r="I16" s="45">
        <v>8.6999999999999993</v>
      </c>
      <c r="J16" s="45">
        <v>8.6999999999999993</v>
      </c>
      <c r="K16" s="45">
        <v>8.6999999999999993</v>
      </c>
      <c r="L16" s="45">
        <v>8.1999999999999993</v>
      </c>
      <c r="M16" s="45">
        <v>8.1999999999999993</v>
      </c>
      <c r="N16" s="45">
        <v>8.1999999999999993</v>
      </c>
      <c r="O16" s="45">
        <v>8.1999999999999993</v>
      </c>
      <c r="P16" s="45">
        <v>8.1999999999999993</v>
      </c>
      <c r="Q16" s="45">
        <v>8.1999999999999993</v>
      </c>
      <c r="R16" s="45">
        <v>8.1999999999999993</v>
      </c>
      <c r="S16" s="45">
        <v>8.1999999999999993</v>
      </c>
      <c r="T16" s="45">
        <v>8.1999999999999993</v>
      </c>
      <c r="U16" s="45">
        <v>8.1999999999999993</v>
      </c>
      <c r="V16" s="45">
        <v>8.1999999999999993</v>
      </c>
      <c r="W16" s="45">
        <v>8.1999999999999993</v>
      </c>
      <c r="X16" s="45">
        <v>8.1999999999999993</v>
      </c>
      <c r="Y16" s="45">
        <v>8.1999999999999993</v>
      </c>
      <c r="Z16" s="45">
        <v>8.1999999999999993</v>
      </c>
      <c r="AA16" s="45">
        <v>8.1999999999999993</v>
      </c>
      <c r="AB16" s="45">
        <v>8.1999999999999993</v>
      </c>
      <c r="AC16" s="45">
        <v>8.1999999999999993</v>
      </c>
      <c r="AD16" s="45">
        <v>8.1999999999999993</v>
      </c>
      <c r="AE16" s="45">
        <v>8.1999999999999993</v>
      </c>
      <c r="AF16" s="45">
        <v>8.1999999999999993</v>
      </c>
      <c r="AG16" s="51">
        <v>30</v>
      </c>
      <c r="AH16" s="47">
        <f t="shared" si="2"/>
        <v>8.6999999999999993</v>
      </c>
      <c r="AI16" s="48">
        <f t="shared" si="3"/>
        <v>7.9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7.2</v>
      </c>
      <c r="M17" s="45">
        <v>7.2</v>
      </c>
      <c r="N17" s="45">
        <v>7.2</v>
      </c>
      <c r="O17" s="45">
        <v>7.2</v>
      </c>
      <c r="P17" s="45">
        <v>7.2</v>
      </c>
      <c r="Q17" s="45">
        <v>7.2</v>
      </c>
      <c r="R17" s="45">
        <v>7.2</v>
      </c>
      <c r="S17" s="45">
        <v>7.2</v>
      </c>
      <c r="T17" s="45">
        <v>7.2</v>
      </c>
      <c r="U17" s="45">
        <v>7.2</v>
      </c>
      <c r="V17" s="45">
        <v>7.2</v>
      </c>
      <c r="W17" s="45">
        <v>7.2</v>
      </c>
      <c r="X17" s="45">
        <v>7.2</v>
      </c>
      <c r="Y17" s="45">
        <v>7.2</v>
      </c>
      <c r="Z17" s="45">
        <v>7.2</v>
      </c>
      <c r="AA17" s="45">
        <v>7.2</v>
      </c>
      <c r="AB17" s="45">
        <v>7.2</v>
      </c>
      <c r="AC17" s="45">
        <v>7.2</v>
      </c>
      <c r="AD17" s="45">
        <v>7.2</v>
      </c>
      <c r="AE17" s="45">
        <v>7.2</v>
      </c>
      <c r="AF17" s="45">
        <v>7.2</v>
      </c>
      <c r="AG17" s="50">
        <v>24.2</v>
      </c>
      <c r="AH17" s="47">
        <f t="shared" si="2"/>
        <v>7.2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9.6</v>
      </c>
      <c r="G20" s="45">
        <v>9.6</v>
      </c>
      <c r="H20" s="45">
        <v>9.6</v>
      </c>
      <c r="I20" s="45">
        <v>9.6</v>
      </c>
      <c r="J20" s="45">
        <v>9.6</v>
      </c>
      <c r="K20" s="45">
        <v>9.6</v>
      </c>
      <c r="L20" s="45">
        <v>9.6</v>
      </c>
      <c r="M20" s="45">
        <v>9.6</v>
      </c>
      <c r="N20" s="45">
        <v>9.6</v>
      </c>
      <c r="O20" s="45">
        <v>9.6</v>
      </c>
      <c r="P20" s="45">
        <v>9.6</v>
      </c>
      <c r="Q20" s="45">
        <v>9.6</v>
      </c>
      <c r="R20" s="45">
        <v>9.6</v>
      </c>
      <c r="S20" s="45">
        <v>9.6</v>
      </c>
      <c r="T20" s="45">
        <v>9.6</v>
      </c>
      <c r="U20" s="45">
        <v>9.6</v>
      </c>
      <c r="V20" s="45">
        <v>9.6</v>
      </c>
      <c r="W20" s="45">
        <v>9.6</v>
      </c>
      <c r="X20" s="45">
        <v>9.6</v>
      </c>
      <c r="Y20" s="45">
        <v>9.6</v>
      </c>
      <c r="Z20" s="45">
        <v>9.6</v>
      </c>
      <c r="AA20" s="45">
        <v>9.6</v>
      </c>
      <c r="AB20" s="45">
        <v>9.6</v>
      </c>
      <c r="AC20" s="45">
        <v>9.6</v>
      </c>
      <c r="AD20" s="45">
        <v>9.6</v>
      </c>
      <c r="AE20" s="45">
        <v>9.6</v>
      </c>
      <c r="AF20" s="45">
        <v>9.6</v>
      </c>
      <c r="AG20" s="50">
        <v>25</v>
      </c>
      <c r="AH20" s="47">
        <f t="shared" si="2"/>
        <v>10</v>
      </c>
      <c r="AI20" s="48">
        <f t="shared" si="3"/>
        <v>9.6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7.1</v>
      </c>
      <c r="C24" s="45">
        <v>7.1</v>
      </c>
      <c r="D24" s="45">
        <v>7.1</v>
      </c>
      <c r="E24" s="45">
        <v>7.1</v>
      </c>
      <c r="F24" s="45">
        <v>7.1</v>
      </c>
      <c r="G24" s="45">
        <v>7.1</v>
      </c>
      <c r="H24" s="45">
        <v>7.1</v>
      </c>
      <c r="I24" s="45">
        <v>7.1</v>
      </c>
      <c r="J24" s="45">
        <v>7.1</v>
      </c>
      <c r="K24" s="45">
        <v>7.1</v>
      </c>
      <c r="L24" s="45">
        <v>7.1</v>
      </c>
      <c r="M24" s="45">
        <v>7.1</v>
      </c>
      <c r="N24" s="45">
        <v>7.1</v>
      </c>
      <c r="O24" s="45">
        <v>7.1</v>
      </c>
      <c r="P24" s="45">
        <v>7.1</v>
      </c>
      <c r="Q24" s="45">
        <v>7.1</v>
      </c>
      <c r="R24" s="45">
        <v>7.1</v>
      </c>
      <c r="S24" s="45">
        <v>7.1</v>
      </c>
      <c r="T24" s="45">
        <v>7.1</v>
      </c>
      <c r="U24" s="45">
        <v>7.1</v>
      </c>
      <c r="V24" s="45">
        <v>7.1</v>
      </c>
      <c r="W24" s="45">
        <v>7.1</v>
      </c>
      <c r="X24" s="45">
        <v>7.1</v>
      </c>
      <c r="Y24" s="45">
        <v>7.1</v>
      </c>
      <c r="Z24" s="45">
        <v>7.1</v>
      </c>
      <c r="AA24" s="45">
        <v>7.1</v>
      </c>
      <c r="AB24" s="45">
        <v>7.1</v>
      </c>
      <c r="AC24" s="45">
        <v>7.1</v>
      </c>
      <c r="AD24" s="45">
        <v>7.1</v>
      </c>
      <c r="AE24" s="45">
        <v>7.1</v>
      </c>
      <c r="AF24" s="45">
        <v>7.1</v>
      </c>
      <c r="AG24" s="50">
        <v>23.5</v>
      </c>
      <c r="AH24" s="47">
        <f t="shared" si="2"/>
        <v>7.1</v>
      </c>
      <c r="AI24" s="48">
        <f t="shared" si="3"/>
        <v>7.1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10.5</v>
      </c>
      <c r="G28" s="45">
        <v>10.5</v>
      </c>
      <c r="H28" s="45">
        <v>10.5</v>
      </c>
      <c r="I28" s="45">
        <v>10.5</v>
      </c>
      <c r="J28" s="45">
        <v>10.5</v>
      </c>
      <c r="K28" s="45">
        <v>10.5</v>
      </c>
      <c r="L28" s="45">
        <v>10.5</v>
      </c>
      <c r="M28" s="45">
        <v>10.5</v>
      </c>
      <c r="N28" s="45">
        <v>10.5</v>
      </c>
      <c r="O28" s="45">
        <v>10.5</v>
      </c>
      <c r="P28" s="45">
        <v>10.5</v>
      </c>
      <c r="Q28" s="45">
        <v>10.5</v>
      </c>
      <c r="R28" s="45">
        <v>10.5</v>
      </c>
      <c r="S28" s="45">
        <v>10.5</v>
      </c>
      <c r="T28" s="45">
        <v>10.5</v>
      </c>
      <c r="U28" s="45">
        <v>10.5</v>
      </c>
      <c r="V28" s="45">
        <v>10.5</v>
      </c>
      <c r="W28" s="45">
        <v>10.5</v>
      </c>
      <c r="X28" s="45">
        <v>10.5</v>
      </c>
      <c r="Y28" s="45">
        <v>10.5</v>
      </c>
      <c r="Z28" s="45">
        <v>10.5</v>
      </c>
      <c r="AA28" s="45">
        <v>10.5</v>
      </c>
      <c r="AB28" s="45">
        <v>10.5</v>
      </c>
      <c r="AC28" s="45">
        <v>10.5</v>
      </c>
      <c r="AD28" s="45">
        <v>10.5</v>
      </c>
      <c r="AE28" s="45">
        <v>10.5</v>
      </c>
      <c r="AF28" s="45">
        <v>10.5</v>
      </c>
      <c r="AG28" s="50">
        <v>22</v>
      </c>
      <c r="AH28" s="47">
        <f t="shared" si="2"/>
        <v>10.5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363.6</v>
      </c>
      <c r="C44" s="60">
        <f t="shared" si="4"/>
        <v>363.6</v>
      </c>
      <c r="D44" s="60">
        <f t="shared" si="4"/>
        <v>363.6</v>
      </c>
      <c r="E44" s="60">
        <f t="shared" si="4"/>
        <v>363.6</v>
      </c>
      <c r="F44" s="60">
        <f t="shared" si="4"/>
        <v>366.7</v>
      </c>
      <c r="G44" s="60">
        <f t="shared" si="4"/>
        <v>366.7</v>
      </c>
      <c r="H44" s="60">
        <f t="shared" si="4"/>
        <v>366.7</v>
      </c>
      <c r="I44" s="60">
        <f t="shared" si="4"/>
        <v>366.7</v>
      </c>
      <c r="J44" s="60">
        <f t="shared" si="4"/>
        <v>366.7</v>
      </c>
      <c r="K44" s="60">
        <f t="shared" si="4"/>
        <v>366.7</v>
      </c>
      <c r="L44" s="60">
        <f t="shared" si="4"/>
        <v>365.2</v>
      </c>
      <c r="M44" s="60">
        <f t="shared" si="4"/>
        <v>358.29999999999995</v>
      </c>
      <c r="N44" s="60">
        <f t="shared" si="4"/>
        <v>358.29999999999995</v>
      </c>
      <c r="O44" s="60">
        <f t="shared" si="4"/>
        <v>358.5</v>
      </c>
      <c r="P44" s="60">
        <f t="shared" si="4"/>
        <v>358.5</v>
      </c>
      <c r="Q44" s="60">
        <f t="shared" si="4"/>
        <v>358.5</v>
      </c>
      <c r="R44" s="60">
        <f t="shared" si="4"/>
        <v>358.5</v>
      </c>
      <c r="S44" s="60">
        <f t="shared" si="4"/>
        <v>358.5</v>
      </c>
      <c r="T44" s="60">
        <f t="shared" si="4"/>
        <v>358.5</v>
      </c>
      <c r="U44" s="60">
        <f t="shared" si="4"/>
        <v>358.5</v>
      </c>
      <c r="V44" s="60">
        <f t="shared" si="4"/>
        <v>358.5</v>
      </c>
      <c r="W44" s="60">
        <f t="shared" si="4"/>
        <v>358.5</v>
      </c>
      <c r="X44" s="60">
        <f t="shared" si="4"/>
        <v>358.5</v>
      </c>
      <c r="Y44" s="60">
        <v>358.5</v>
      </c>
      <c r="Z44" s="60">
        <f t="shared" si="4"/>
        <v>358.5</v>
      </c>
      <c r="AA44" s="60">
        <f t="shared" si="4"/>
        <v>358.5</v>
      </c>
      <c r="AB44" s="60">
        <f t="shared" si="4"/>
        <v>358.5</v>
      </c>
      <c r="AC44" s="60">
        <f t="shared" si="4"/>
        <v>358.5</v>
      </c>
      <c r="AD44" s="60">
        <f t="shared" si="4"/>
        <v>358.5</v>
      </c>
      <c r="AE44" s="60">
        <f t="shared" si="4"/>
        <v>358.5</v>
      </c>
      <c r="AF44" s="60">
        <f t="shared" si="4"/>
        <v>358.5</v>
      </c>
      <c r="AG44" s="61">
        <f t="shared" si="4"/>
        <v>814.78000000000009</v>
      </c>
      <c r="AH44" s="47">
        <f t="shared" si="2"/>
        <v>366.7</v>
      </c>
      <c r="AI44" s="48">
        <f t="shared" si="3"/>
        <v>358.29999999999995</v>
      </c>
      <c r="AK44" s="49"/>
    </row>
    <row r="45" spans="1:88" x14ac:dyDescent="0.25">
      <c r="A45" s="62" t="s">
        <v>53</v>
      </c>
      <c r="B45" s="45">
        <v>40</v>
      </c>
      <c r="C45" s="45">
        <v>15</v>
      </c>
      <c r="D45" s="45">
        <v>15</v>
      </c>
      <c r="E45" s="45">
        <v>0</v>
      </c>
      <c r="F45" s="45">
        <v>0</v>
      </c>
      <c r="G45" s="45">
        <v>30</v>
      </c>
      <c r="H45" s="45">
        <v>50</v>
      </c>
      <c r="I45" s="45">
        <v>80</v>
      </c>
      <c r="J45" s="45">
        <v>260</v>
      </c>
      <c r="K45" s="45">
        <v>390</v>
      </c>
      <c r="L45" s="45">
        <v>370</v>
      </c>
      <c r="M45" s="63">
        <v>390</v>
      </c>
      <c r="N45" s="63">
        <v>406</v>
      </c>
      <c r="O45" s="45">
        <v>76</v>
      </c>
      <c r="P45" s="45">
        <v>15</v>
      </c>
      <c r="Q45" s="45">
        <v>15</v>
      </c>
      <c r="R45" s="45">
        <v>15</v>
      </c>
      <c r="S45" s="45">
        <v>0</v>
      </c>
      <c r="T45" s="45">
        <v>0</v>
      </c>
      <c r="U45" s="45">
        <v>0</v>
      </c>
      <c r="V45" s="45">
        <v>0</v>
      </c>
      <c r="W45" s="45">
        <v>76</v>
      </c>
      <c r="X45" s="45">
        <v>140</v>
      </c>
      <c r="Y45" s="45">
        <v>120</v>
      </c>
      <c r="Z45" s="45">
        <v>235</v>
      </c>
      <c r="AA45" s="45">
        <v>250</v>
      </c>
      <c r="AB45" s="45">
        <v>150</v>
      </c>
      <c r="AC45" s="45">
        <v>50</v>
      </c>
      <c r="AD45" s="45">
        <v>20</v>
      </c>
      <c r="AE45" s="45">
        <v>20</v>
      </c>
      <c r="AF45" s="45">
        <v>0</v>
      </c>
      <c r="AG45" s="51">
        <v>456</v>
      </c>
      <c r="AH45" s="47">
        <f t="shared" si="2"/>
        <v>406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12.1</v>
      </c>
      <c r="C47" s="67">
        <v>12.1</v>
      </c>
      <c r="D47" s="67">
        <v>12.1</v>
      </c>
      <c r="E47" s="67">
        <v>12.1</v>
      </c>
      <c r="F47" s="67">
        <v>12.6</v>
      </c>
      <c r="G47" s="67">
        <v>12.6</v>
      </c>
      <c r="H47" s="67">
        <v>12.6</v>
      </c>
      <c r="I47" s="67">
        <v>12.6</v>
      </c>
      <c r="J47" s="67">
        <v>12.6</v>
      </c>
      <c r="K47" s="67">
        <v>12.6</v>
      </c>
      <c r="L47" s="67">
        <v>12.6</v>
      </c>
      <c r="M47" s="67">
        <v>12.5</v>
      </c>
      <c r="N47" s="67">
        <v>12.5</v>
      </c>
      <c r="O47" s="67">
        <v>12.3</v>
      </c>
      <c r="P47" s="67">
        <v>12</v>
      </c>
      <c r="Q47" s="67">
        <v>12</v>
      </c>
      <c r="R47" s="67">
        <v>12</v>
      </c>
      <c r="S47" s="67">
        <v>12</v>
      </c>
      <c r="T47" s="67">
        <v>12</v>
      </c>
      <c r="U47" s="67">
        <v>12</v>
      </c>
      <c r="V47" s="67">
        <v>12</v>
      </c>
      <c r="W47" s="67">
        <v>12</v>
      </c>
      <c r="X47" s="67">
        <v>12</v>
      </c>
      <c r="Y47" s="67">
        <v>12</v>
      </c>
      <c r="Z47" s="67">
        <v>12</v>
      </c>
      <c r="AA47" s="67">
        <v>12</v>
      </c>
      <c r="AB47" s="67">
        <v>17</v>
      </c>
      <c r="AC47" s="67">
        <v>17</v>
      </c>
      <c r="AD47" s="67">
        <v>17</v>
      </c>
      <c r="AE47" s="67">
        <v>17</v>
      </c>
      <c r="AF47" s="67">
        <v>17</v>
      </c>
      <c r="AG47" s="68">
        <v>22.1</v>
      </c>
      <c r="AH47" s="47">
        <f t="shared" si="2"/>
        <v>17</v>
      </c>
      <c r="AI47" s="48">
        <f t="shared" si="3"/>
        <v>12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80.099999999999994</v>
      </c>
      <c r="C48" s="60">
        <f t="shared" si="5"/>
        <v>55.1</v>
      </c>
      <c r="D48" s="60">
        <f t="shared" si="5"/>
        <v>55.1</v>
      </c>
      <c r="E48" s="60">
        <f t="shared" si="5"/>
        <v>40.1</v>
      </c>
      <c r="F48" s="60">
        <f t="shared" si="5"/>
        <v>40.6</v>
      </c>
      <c r="G48" s="60">
        <f t="shared" si="5"/>
        <v>70.599999999999994</v>
      </c>
      <c r="H48" s="60">
        <f t="shared" si="5"/>
        <v>90.6</v>
      </c>
      <c r="I48" s="60">
        <f t="shared" si="5"/>
        <v>120.6</v>
      </c>
      <c r="J48" s="60">
        <f t="shared" si="5"/>
        <v>300.60000000000002</v>
      </c>
      <c r="K48" s="60">
        <f t="shared" si="5"/>
        <v>430.6</v>
      </c>
      <c r="L48" s="60">
        <f t="shared" si="5"/>
        <v>410.6</v>
      </c>
      <c r="M48" s="60">
        <f t="shared" si="5"/>
        <v>430.5</v>
      </c>
      <c r="N48" s="60">
        <f t="shared" si="5"/>
        <v>446.5</v>
      </c>
      <c r="O48" s="60">
        <f t="shared" si="5"/>
        <v>116.3</v>
      </c>
      <c r="P48" s="60">
        <f t="shared" si="5"/>
        <v>55</v>
      </c>
      <c r="Q48" s="60">
        <f t="shared" si="5"/>
        <v>55</v>
      </c>
      <c r="R48" s="60">
        <f t="shared" si="5"/>
        <v>55</v>
      </c>
      <c r="S48" s="60">
        <f t="shared" si="5"/>
        <v>40</v>
      </c>
      <c r="T48" s="60">
        <f t="shared" si="5"/>
        <v>40</v>
      </c>
      <c r="U48" s="60">
        <f t="shared" si="5"/>
        <v>40</v>
      </c>
      <c r="V48" s="60">
        <f t="shared" si="5"/>
        <v>40</v>
      </c>
      <c r="W48" s="60">
        <f t="shared" si="5"/>
        <v>116</v>
      </c>
      <c r="X48" s="60">
        <f t="shared" si="5"/>
        <v>180</v>
      </c>
      <c r="Y48" s="60">
        <v>160</v>
      </c>
      <c r="Z48" s="60">
        <f t="shared" si="5"/>
        <v>275</v>
      </c>
      <c r="AA48" s="60">
        <f t="shared" si="5"/>
        <v>290</v>
      </c>
      <c r="AB48" s="60">
        <f t="shared" si="5"/>
        <v>195</v>
      </c>
      <c r="AC48" s="60">
        <f t="shared" si="5"/>
        <v>95</v>
      </c>
      <c r="AD48" s="60">
        <f t="shared" si="5"/>
        <v>65</v>
      </c>
      <c r="AE48" s="60">
        <f t="shared" si="5"/>
        <v>65</v>
      </c>
      <c r="AF48" s="60">
        <f t="shared" si="5"/>
        <v>45</v>
      </c>
      <c r="AG48" s="61">
        <f t="shared" si="5"/>
        <v>538.1</v>
      </c>
      <c r="AH48" s="47">
        <f t="shared" si="2"/>
        <v>446.5</v>
      </c>
      <c r="AI48" s="48">
        <f t="shared" si="3"/>
        <v>40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28.5</v>
      </c>
      <c r="H49" s="45">
        <v>28.2</v>
      </c>
      <c r="I49" s="45">
        <v>53</v>
      </c>
      <c r="J49" s="45">
        <v>67.099999999999994</v>
      </c>
      <c r="K49" s="45">
        <v>77.2</v>
      </c>
      <c r="L49" s="45">
        <v>103.7</v>
      </c>
      <c r="M49" s="45">
        <v>103.9</v>
      </c>
      <c r="N49" s="45">
        <v>98.7</v>
      </c>
      <c r="O49" s="45">
        <v>96</v>
      </c>
      <c r="P49" s="45">
        <v>93.5</v>
      </c>
      <c r="Q49" s="45">
        <v>92</v>
      </c>
      <c r="R49" s="45">
        <v>92</v>
      </c>
      <c r="S49" s="45">
        <v>92</v>
      </c>
      <c r="T49" s="45">
        <v>91.5</v>
      </c>
      <c r="U49" s="45">
        <v>91.5</v>
      </c>
      <c r="V49" s="45">
        <v>81.5</v>
      </c>
      <c r="W49" s="45">
        <v>81.5</v>
      </c>
      <c r="X49" s="45">
        <v>61</v>
      </c>
      <c r="Y49" s="45">
        <v>122.5</v>
      </c>
      <c r="Z49" s="45">
        <v>113</v>
      </c>
      <c r="AA49" s="45">
        <v>110.7</v>
      </c>
      <c r="AB49" s="45">
        <v>70.599999999999994</v>
      </c>
      <c r="AC49" s="45">
        <v>63</v>
      </c>
      <c r="AD49" s="45">
        <v>63.2</v>
      </c>
      <c r="AE49" s="45">
        <v>63.3</v>
      </c>
      <c r="AF49" s="45">
        <v>31</v>
      </c>
      <c r="AG49" s="51">
        <v>144</v>
      </c>
      <c r="AH49" s="47">
        <f t="shared" si="2"/>
        <v>122.5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21.5</v>
      </c>
      <c r="J50" s="65">
        <v>46.8</v>
      </c>
      <c r="K50" s="65">
        <v>72.3</v>
      </c>
      <c r="L50" s="65">
        <v>72</v>
      </c>
      <c r="M50" s="65">
        <v>70.099999999999994</v>
      </c>
      <c r="N50" s="65">
        <v>58</v>
      </c>
      <c r="O50" s="65">
        <v>70.099999999999994</v>
      </c>
      <c r="P50" s="65">
        <v>46</v>
      </c>
      <c r="Q50" s="65">
        <v>36</v>
      </c>
      <c r="R50" s="65">
        <v>36</v>
      </c>
      <c r="S50" s="65">
        <v>36</v>
      </c>
      <c r="T50" s="45">
        <v>34.200000000000003</v>
      </c>
      <c r="U50" s="45">
        <v>34.700000000000003</v>
      </c>
      <c r="V50" s="45">
        <v>25</v>
      </c>
      <c r="W50" s="45">
        <v>61.3</v>
      </c>
      <c r="X50" s="45">
        <v>46</v>
      </c>
      <c r="Y50" s="45">
        <v>64.099999999999994</v>
      </c>
      <c r="Z50" s="45">
        <v>50.7</v>
      </c>
      <c r="AA50" s="45">
        <v>51</v>
      </c>
      <c r="AB50" s="65">
        <v>50</v>
      </c>
      <c r="AC50" s="65">
        <v>24.7</v>
      </c>
      <c r="AD50" s="65">
        <v>24.8</v>
      </c>
      <c r="AE50" s="65">
        <v>24</v>
      </c>
      <c r="AF50" s="65">
        <v>0</v>
      </c>
      <c r="AG50" s="54">
        <v>70</v>
      </c>
      <c r="AH50" s="47">
        <f t="shared" si="2"/>
        <v>72.3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17.600000000000001</v>
      </c>
      <c r="H51" s="65">
        <v>17.600000000000001</v>
      </c>
      <c r="I51" s="65">
        <v>17.3</v>
      </c>
      <c r="J51" s="65">
        <v>54.1</v>
      </c>
      <c r="K51" s="65">
        <v>46.9</v>
      </c>
      <c r="L51" s="65">
        <v>47.3</v>
      </c>
      <c r="M51" s="65">
        <v>65.900000000000006</v>
      </c>
      <c r="N51" s="65">
        <v>61</v>
      </c>
      <c r="O51" s="65">
        <v>67.8</v>
      </c>
      <c r="P51" s="65">
        <v>33.700000000000003</v>
      </c>
      <c r="Q51" s="65">
        <v>33</v>
      </c>
      <c r="R51" s="65">
        <v>33</v>
      </c>
      <c r="S51" s="65">
        <v>33</v>
      </c>
      <c r="T51" s="45">
        <v>46</v>
      </c>
      <c r="U51" s="45">
        <v>46</v>
      </c>
      <c r="V51" s="45">
        <v>45.7</v>
      </c>
      <c r="W51" s="45">
        <v>45.7</v>
      </c>
      <c r="X51" s="45">
        <v>69.3</v>
      </c>
      <c r="Y51" s="45">
        <v>61.6</v>
      </c>
      <c r="Z51" s="45">
        <v>51.7</v>
      </c>
      <c r="AA51" s="45">
        <v>60.6</v>
      </c>
      <c r="AB51" s="65">
        <v>60.3</v>
      </c>
      <c r="AC51" s="65">
        <v>52.8</v>
      </c>
      <c r="AD51" s="65">
        <v>52.7</v>
      </c>
      <c r="AE51" s="65">
        <v>32</v>
      </c>
      <c r="AF51" s="65">
        <v>0</v>
      </c>
      <c r="AG51" s="54">
        <v>69</v>
      </c>
      <c r="AH51" s="47">
        <f t="shared" si="2"/>
        <v>69.3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47.1</v>
      </c>
      <c r="C52" s="56">
        <v>47.1</v>
      </c>
      <c r="D52" s="56">
        <v>47.1</v>
      </c>
      <c r="E52" s="56">
        <v>44.4</v>
      </c>
      <c r="F52" s="56">
        <v>45.3</v>
      </c>
      <c r="G52" s="56">
        <v>45.3</v>
      </c>
      <c r="H52" s="56">
        <v>45.3</v>
      </c>
      <c r="I52" s="56">
        <v>44.3</v>
      </c>
      <c r="J52" s="56">
        <v>44.6</v>
      </c>
      <c r="K52" s="56">
        <v>44.6</v>
      </c>
      <c r="L52" s="56">
        <v>44.3</v>
      </c>
      <c r="M52" s="65">
        <v>44.3</v>
      </c>
      <c r="N52" s="65">
        <v>44.3</v>
      </c>
      <c r="O52" s="65">
        <v>44.1</v>
      </c>
      <c r="P52" s="65">
        <v>44.1</v>
      </c>
      <c r="Q52" s="65">
        <v>44.1</v>
      </c>
      <c r="R52" s="65">
        <v>44.1</v>
      </c>
      <c r="S52" s="65">
        <v>44.1</v>
      </c>
      <c r="T52" s="65">
        <v>44.1</v>
      </c>
      <c r="U52" s="45">
        <v>44</v>
      </c>
      <c r="V52" s="45">
        <v>44</v>
      </c>
      <c r="W52" s="45">
        <v>44</v>
      </c>
      <c r="X52" s="45">
        <v>44</v>
      </c>
      <c r="Y52" s="65">
        <v>44</v>
      </c>
      <c r="Z52" s="65">
        <v>44</v>
      </c>
      <c r="AA52" s="65">
        <v>44</v>
      </c>
      <c r="AB52" s="65">
        <v>44</v>
      </c>
      <c r="AC52" s="65">
        <v>44</v>
      </c>
      <c r="AD52" s="65">
        <v>44</v>
      </c>
      <c r="AE52" s="65">
        <v>44</v>
      </c>
      <c r="AF52" s="65">
        <v>44</v>
      </c>
      <c r="AG52" s="54">
        <v>60</v>
      </c>
      <c r="AH52" s="47">
        <f t="shared" si="2"/>
        <v>47.1</v>
      </c>
      <c r="AI52" s="48">
        <f t="shared" si="3"/>
        <v>44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13</v>
      </c>
      <c r="F53" s="56">
        <v>13</v>
      </c>
      <c r="G53" s="56">
        <v>13</v>
      </c>
      <c r="H53" s="56">
        <v>13</v>
      </c>
      <c r="I53" s="56">
        <v>13</v>
      </c>
      <c r="J53" s="56">
        <v>13</v>
      </c>
      <c r="K53" s="56">
        <v>13</v>
      </c>
      <c r="L53" s="56">
        <v>13</v>
      </c>
      <c r="M53" s="65">
        <v>13</v>
      </c>
      <c r="N53" s="65">
        <v>13</v>
      </c>
      <c r="O53" s="65">
        <v>13.2</v>
      </c>
      <c r="P53" s="65">
        <v>13.2</v>
      </c>
      <c r="Q53" s="65">
        <v>13.2</v>
      </c>
      <c r="R53" s="65">
        <v>13.2</v>
      </c>
      <c r="S53" s="65">
        <v>0</v>
      </c>
      <c r="T53" s="65">
        <v>0</v>
      </c>
      <c r="U53" s="45">
        <v>0</v>
      </c>
      <c r="V53" s="45">
        <v>0</v>
      </c>
      <c r="W53" s="45">
        <v>0</v>
      </c>
      <c r="X53" s="45">
        <v>0</v>
      </c>
      <c r="Y53" s="65">
        <v>25.8</v>
      </c>
      <c r="Z53" s="65">
        <v>25.8</v>
      </c>
      <c r="AA53" s="65">
        <v>25.8</v>
      </c>
      <c r="AB53" s="65">
        <v>25.8</v>
      </c>
      <c r="AC53" s="65">
        <v>14.5</v>
      </c>
      <c r="AD53" s="65">
        <v>14.5</v>
      </c>
      <c r="AE53" s="65">
        <v>0</v>
      </c>
      <c r="AF53" s="65">
        <v>0</v>
      </c>
      <c r="AG53" s="54">
        <v>30</v>
      </c>
      <c r="AH53" s="47">
        <f t="shared" si="2"/>
        <v>25.8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5</v>
      </c>
      <c r="O54" s="65">
        <v>10</v>
      </c>
      <c r="P54" s="65">
        <v>10</v>
      </c>
      <c r="Q54" s="65">
        <v>10</v>
      </c>
      <c r="R54" s="65">
        <v>10</v>
      </c>
      <c r="S54" s="65">
        <v>10</v>
      </c>
      <c r="T54" s="65">
        <v>10</v>
      </c>
      <c r="U54" s="65">
        <v>10</v>
      </c>
      <c r="V54" s="65">
        <v>10</v>
      </c>
      <c r="W54" s="65">
        <v>5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14</v>
      </c>
      <c r="C55" s="65">
        <v>14</v>
      </c>
      <c r="D55" s="65">
        <v>14</v>
      </c>
      <c r="E55" s="65">
        <v>14</v>
      </c>
      <c r="F55" s="65">
        <v>14</v>
      </c>
      <c r="G55" s="65">
        <v>14</v>
      </c>
      <c r="H55" s="65">
        <v>14</v>
      </c>
      <c r="I55" s="65">
        <v>14</v>
      </c>
      <c r="J55" s="65">
        <v>14</v>
      </c>
      <c r="K55" s="65">
        <v>14</v>
      </c>
      <c r="L55" s="65">
        <v>14</v>
      </c>
      <c r="M55" s="65">
        <v>14</v>
      </c>
      <c r="N55" s="65">
        <v>14</v>
      </c>
      <c r="O55" s="65">
        <v>14</v>
      </c>
      <c r="P55" s="65">
        <v>14</v>
      </c>
      <c r="Q55" s="65">
        <v>14</v>
      </c>
      <c r="R55" s="65">
        <v>14</v>
      </c>
      <c r="S55" s="65">
        <v>14</v>
      </c>
      <c r="T55" s="65">
        <v>14</v>
      </c>
      <c r="U55" s="65">
        <v>14</v>
      </c>
      <c r="V55" s="65">
        <v>14</v>
      </c>
      <c r="W55" s="65">
        <v>14</v>
      </c>
      <c r="X55" s="65">
        <v>14</v>
      </c>
      <c r="Y55" s="65">
        <v>14</v>
      </c>
      <c r="Z55" s="65">
        <v>14</v>
      </c>
      <c r="AA55" s="65">
        <v>14</v>
      </c>
      <c r="AB55" s="65">
        <v>14</v>
      </c>
      <c r="AC55" s="65">
        <v>14</v>
      </c>
      <c r="AD55" s="65">
        <v>14</v>
      </c>
      <c r="AE55" s="65">
        <v>14</v>
      </c>
      <c r="AF55" s="65">
        <v>14</v>
      </c>
      <c r="AG55" s="54">
        <v>24</v>
      </c>
      <c r="AH55" s="47">
        <f t="shared" si="2"/>
        <v>14</v>
      </c>
      <c r="AI55" s="48">
        <f t="shared" si="3"/>
        <v>14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10.1</v>
      </c>
      <c r="C57" s="65">
        <v>10.1</v>
      </c>
      <c r="D57" s="65">
        <v>10.1</v>
      </c>
      <c r="E57" s="65">
        <v>10.1</v>
      </c>
      <c r="F57" s="65">
        <v>10.1</v>
      </c>
      <c r="G57" s="65">
        <v>10.1</v>
      </c>
      <c r="H57" s="65">
        <v>10.1</v>
      </c>
      <c r="I57" s="65">
        <v>10.1</v>
      </c>
      <c r="J57" s="65">
        <v>10.1</v>
      </c>
      <c r="K57" s="65">
        <v>10.1</v>
      </c>
      <c r="L57" s="65">
        <v>10.1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10.1</v>
      </c>
      <c r="U57" s="65">
        <v>10.1</v>
      </c>
      <c r="V57" s="65">
        <v>10.1</v>
      </c>
      <c r="W57" s="65">
        <v>10.1</v>
      </c>
      <c r="X57" s="65">
        <v>10.1</v>
      </c>
      <c r="Y57" s="65">
        <v>10.1</v>
      </c>
      <c r="Z57" s="65">
        <v>10.1</v>
      </c>
      <c r="AA57" s="65">
        <v>10.1</v>
      </c>
      <c r="AB57" s="65">
        <v>10.1</v>
      </c>
      <c r="AC57" s="65">
        <v>10.1</v>
      </c>
      <c r="AD57" s="65">
        <v>10.1</v>
      </c>
      <c r="AE57" s="65">
        <v>10.1</v>
      </c>
      <c r="AF57" s="65">
        <v>10.1</v>
      </c>
      <c r="AG57" s="54">
        <v>14.1</v>
      </c>
      <c r="AH57" s="47">
        <f t="shared" si="2"/>
        <v>10.1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5.5</v>
      </c>
      <c r="C58" s="65">
        <v>5.5</v>
      </c>
      <c r="D58" s="65">
        <v>5.5</v>
      </c>
      <c r="E58" s="65">
        <v>5.5</v>
      </c>
      <c r="F58" s="65">
        <v>5.5</v>
      </c>
      <c r="G58" s="65">
        <v>5.5</v>
      </c>
      <c r="H58" s="65">
        <v>5.5</v>
      </c>
      <c r="I58" s="65">
        <v>5.5</v>
      </c>
      <c r="J58" s="65">
        <v>5.5</v>
      </c>
      <c r="K58" s="65">
        <v>5.5</v>
      </c>
      <c r="L58" s="65">
        <v>5.5</v>
      </c>
      <c r="M58" s="65">
        <v>5.5</v>
      </c>
      <c r="N58" s="65">
        <v>5.5</v>
      </c>
      <c r="O58" s="65">
        <v>5.5</v>
      </c>
      <c r="P58" s="65">
        <v>5.5</v>
      </c>
      <c r="Q58" s="65">
        <v>5.5</v>
      </c>
      <c r="R58" s="65">
        <v>5.5</v>
      </c>
      <c r="S58" s="65">
        <v>5.5</v>
      </c>
      <c r="T58" s="65">
        <v>5.5</v>
      </c>
      <c r="U58" s="65">
        <v>5.5</v>
      </c>
      <c r="V58" s="65">
        <v>5.5</v>
      </c>
      <c r="W58" s="65">
        <v>5.5</v>
      </c>
      <c r="X58" s="65">
        <v>5.5</v>
      </c>
      <c r="Y58" s="65">
        <v>5.5</v>
      </c>
      <c r="Z58" s="65">
        <v>5.5</v>
      </c>
      <c r="AA58" s="65">
        <v>5.5</v>
      </c>
      <c r="AB58" s="65">
        <v>5.5</v>
      </c>
      <c r="AC58" s="65">
        <v>5.5</v>
      </c>
      <c r="AD58" s="65">
        <v>5.5</v>
      </c>
      <c r="AE58" s="65">
        <v>5.5</v>
      </c>
      <c r="AF58" s="65">
        <v>5.5</v>
      </c>
      <c r="AG58" s="54">
        <v>14</v>
      </c>
      <c r="AH58" s="47">
        <f t="shared" si="2"/>
        <v>5.5</v>
      </c>
      <c r="AI58" s="48">
        <f t="shared" si="3"/>
        <v>5.5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90.84</v>
      </c>
      <c r="C62" s="60">
        <f t="shared" si="6"/>
        <v>90.84</v>
      </c>
      <c r="D62" s="60">
        <f t="shared" si="6"/>
        <v>90.84</v>
      </c>
      <c r="E62" s="60">
        <f t="shared" si="6"/>
        <v>101.14000000000001</v>
      </c>
      <c r="F62" s="60">
        <f t="shared" si="6"/>
        <v>102.04</v>
      </c>
      <c r="G62" s="60">
        <f t="shared" si="6"/>
        <v>148.13999999999999</v>
      </c>
      <c r="H62" s="60">
        <f t="shared" si="6"/>
        <v>147.83999999999997</v>
      </c>
      <c r="I62" s="60">
        <f t="shared" si="6"/>
        <v>192.83999999999995</v>
      </c>
      <c r="J62" s="60">
        <f t="shared" si="6"/>
        <v>269.33999999999997</v>
      </c>
      <c r="K62" s="60">
        <f t="shared" si="6"/>
        <v>297.74</v>
      </c>
      <c r="L62" s="60">
        <f t="shared" si="6"/>
        <v>324.04000000000002</v>
      </c>
      <c r="M62" s="60">
        <f t="shared" si="6"/>
        <v>340.94</v>
      </c>
      <c r="N62" s="60">
        <f t="shared" si="6"/>
        <v>323.74</v>
      </c>
      <c r="O62" s="60">
        <f t="shared" si="6"/>
        <v>344.94</v>
      </c>
      <c r="P62" s="60">
        <f t="shared" si="6"/>
        <v>284.24</v>
      </c>
      <c r="Q62" s="60">
        <f t="shared" si="6"/>
        <v>272.03999999999996</v>
      </c>
      <c r="R62" s="60">
        <f t="shared" si="6"/>
        <v>272.03999999999996</v>
      </c>
      <c r="S62" s="60">
        <f t="shared" si="6"/>
        <v>258.83999999999997</v>
      </c>
      <c r="T62" s="60">
        <f t="shared" si="6"/>
        <v>269.53999999999996</v>
      </c>
      <c r="U62" s="60">
        <f t="shared" si="6"/>
        <v>269.94</v>
      </c>
      <c r="V62" s="60">
        <f t="shared" si="6"/>
        <v>249.93999999999994</v>
      </c>
      <c r="W62" s="60">
        <f t="shared" si="6"/>
        <v>281.24</v>
      </c>
      <c r="X62" s="60">
        <f t="shared" si="6"/>
        <v>264.04000000000002</v>
      </c>
      <c r="Y62" s="60">
        <v>361.74</v>
      </c>
      <c r="Z62" s="60">
        <f t="shared" si="6"/>
        <v>328.94</v>
      </c>
      <c r="AA62" s="60">
        <f t="shared" si="6"/>
        <v>335.84</v>
      </c>
      <c r="AB62" s="60">
        <f t="shared" si="6"/>
        <v>294.44</v>
      </c>
      <c r="AC62" s="60">
        <f t="shared" si="6"/>
        <v>242.73999999999995</v>
      </c>
      <c r="AD62" s="60">
        <f t="shared" si="6"/>
        <v>242.93999999999994</v>
      </c>
      <c r="AE62" s="60">
        <f t="shared" si="6"/>
        <v>207.03999999999996</v>
      </c>
      <c r="AF62" s="60">
        <f t="shared" si="6"/>
        <v>118.74000000000001</v>
      </c>
      <c r="AG62" s="61">
        <f t="shared" si="6"/>
        <v>489.91</v>
      </c>
      <c r="AH62" s="47">
        <f t="shared" si="2"/>
        <v>361.74</v>
      </c>
      <c r="AI62" s="48">
        <f t="shared" si="3"/>
        <v>90.84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30</v>
      </c>
      <c r="P63" s="45">
        <v>15</v>
      </c>
      <c r="Q63" s="45">
        <v>0</v>
      </c>
      <c r="R63" s="45">
        <v>0</v>
      </c>
      <c r="S63" s="45">
        <v>0</v>
      </c>
      <c r="T63" s="45">
        <v>30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30</v>
      </c>
      <c r="AB63" s="45">
        <v>10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10.8</v>
      </c>
      <c r="P64" s="65">
        <v>5</v>
      </c>
      <c r="Q64" s="45">
        <v>0</v>
      </c>
      <c r="R64" s="45">
        <v>0</v>
      </c>
      <c r="S64" s="45">
        <v>0</v>
      </c>
      <c r="T64" s="65">
        <v>14.2</v>
      </c>
      <c r="U64" s="65">
        <v>27</v>
      </c>
      <c r="V64" s="65">
        <v>27</v>
      </c>
      <c r="W64" s="65">
        <v>27</v>
      </c>
      <c r="X64" s="65">
        <v>27</v>
      </c>
      <c r="Y64" s="65">
        <v>27</v>
      </c>
      <c r="Z64" s="65">
        <v>27</v>
      </c>
      <c r="AA64" s="65">
        <v>12.8</v>
      </c>
      <c r="AB64" s="65">
        <v>4.4000000000000004</v>
      </c>
      <c r="AC64" s="65">
        <v>4.5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27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4</v>
      </c>
      <c r="P65" s="67">
        <v>2</v>
      </c>
      <c r="Q65" s="45">
        <v>0</v>
      </c>
      <c r="R65" s="45">
        <v>0</v>
      </c>
      <c r="S65" s="45">
        <v>0</v>
      </c>
      <c r="T65" s="67">
        <v>5.2</v>
      </c>
      <c r="U65" s="67">
        <v>10</v>
      </c>
      <c r="V65" s="67">
        <v>10</v>
      </c>
      <c r="W65" s="67">
        <v>10</v>
      </c>
      <c r="X65" s="67">
        <v>10</v>
      </c>
      <c r="Y65" s="67">
        <v>10</v>
      </c>
      <c r="Z65" s="67">
        <v>10</v>
      </c>
      <c r="AA65" s="67">
        <v>4.0999999999999996</v>
      </c>
      <c r="AB65" s="67">
        <v>2</v>
      </c>
      <c r="AC65" s="67">
        <v>2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10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44.8</v>
      </c>
      <c r="P66" s="60">
        <f t="shared" si="7"/>
        <v>22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49.400000000000006</v>
      </c>
      <c r="U66" s="60">
        <f t="shared" si="7"/>
        <v>97</v>
      </c>
      <c r="V66" s="60">
        <f t="shared" si="7"/>
        <v>97</v>
      </c>
      <c r="W66" s="60">
        <f t="shared" si="7"/>
        <v>97</v>
      </c>
      <c r="X66" s="60">
        <f t="shared" si="7"/>
        <v>97</v>
      </c>
      <c r="Y66" s="60">
        <v>97</v>
      </c>
      <c r="Z66" s="60">
        <f t="shared" si="7"/>
        <v>97</v>
      </c>
      <c r="AA66" s="60">
        <f t="shared" si="7"/>
        <v>46.9</v>
      </c>
      <c r="AB66" s="60">
        <f t="shared" si="7"/>
        <v>16.399999999999999</v>
      </c>
      <c r="AC66" s="60">
        <f t="shared" si="7"/>
        <v>6.5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97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/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/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299.39999999999998</v>
      </c>
      <c r="C69" s="65">
        <v>277.8</v>
      </c>
      <c r="D69" s="65">
        <v>277.39999999999998</v>
      </c>
      <c r="E69" s="65">
        <v>330</v>
      </c>
      <c r="F69" s="65">
        <v>268.60000000000002</v>
      </c>
      <c r="G69" s="65">
        <v>246.1</v>
      </c>
      <c r="H69" s="65">
        <v>287</v>
      </c>
      <c r="I69" s="65">
        <v>285</v>
      </c>
      <c r="J69" s="65">
        <v>114</v>
      </c>
      <c r="K69" s="65">
        <v>10</v>
      </c>
      <c r="L69" s="65">
        <v>12.5</v>
      </c>
      <c r="M69" s="65">
        <v>7.4</v>
      </c>
      <c r="N69" s="65">
        <v>70</v>
      </c>
      <c r="O69" s="65">
        <v>252</v>
      </c>
      <c r="P69" s="65">
        <v>303</v>
      </c>
      <c r="Q69" s="65">
        <v>341</v>
      </c>
      <c r="R69" s="65">
        <v>350</v>
      </c>
      <c r="S69" s="65">
        <v>355</v>
      </c>
      <c r="T69" s="65">
        <v>370</v>
      </c>
      <c r="U69" s="65">
        <v>356</v>
      </c>
      <c r="V69" s="65">
        <v>256</v>
      </c>
      <c r="W69" s="65">
        <v>256</v>
      </c>
      <c r="X69" s="65">
        <v>210</v>
      </c>
      <c r="Y69" s="65">
        <v>292</v>
      </c>
      <c r="Z69" s="65">
        <v>160</v>
      </c>
      <c r="AA69" s="65">
        <v>120</v>
      </c>
      <c r="AB69" s="65">
        <v>232</v>
      </c>
      <c r="AC69" s="65">
        <v>343.5</v>
      </c>
      <c r="AD69" s="65">
        <v>335.6</v>
      </c>
      <c r="AE69" s="65">
        <v>302</v>
      </c>
      <c r="AF69" s="65">
        <v>321</v>
      </c>
      <c r="AG69" s="75"/>
      <c r="AH69" s="47">
        <f t="shared" si="2"/>
        <v>370</v>
      </c>
      <c r="AI69" s="48">
        <f t="shared" si="3"/>
        <v>7.4</v>
      </c>
      <c r="AK69" s="49"/>
    </row>
    <row r="70" spans="1:40" x14ac:dyDescent="0.25">
      <c r="A70" s="53" t="s">
        <v>78</v>
      </c>
      <c r="B70" s="76">
        <v>55.1</v>
      </c>
      <c r="C70" s="76">
        <v>53.9</v>
      </c>
      <c r="D70" s="76">
        <v>52.7</v>
      </c>
      <c r="E70" s="76">
        <v>52.2</v>
      </c>
      <c r="F70" s="76">
        <v>52.2</v>
      </c>
      <c r="G70" s="76">
        <v>54</v>
      </c>
      <c r="H70" s="76">
        <v>55.4</v>
      </c>
      <c r="I70" s="76">
        <v>57.9</v>
      </c>
      <c r="J70" s="76">
        <v>59.6</v>
      </c>
      <c r="K70" s="76">
        <v>53.7</v>
      </c>
      <c r="L70" s="76">
        <v>55.6</v>
      </c>
      <c r="M70" s="76">
        <v>55.2</v>
      </c>
      <c r="N70" s="76">
        <v>55.8</v>
      </c>
      <c r="O70" s="76">
        <v>63.2</v>
      </c>
      <c r="P70" s="76">
        <v>65</v>
      </c>
      <c r="Q70" s="76">
        <v>66.5</v>
      </c>
      <c r="R70" s="76">
        <v>66.5</v>
      </c>
      <c r="S70" s="76">
        <v>66.5</v>
      </c>
      <c r="T70" s="76">
        <v>64</v>
      </c>
      <c r="U70" s="76">
        <v>64</v>
      </c>
      <c r="V70" s="76">
        <v>64</v>
      </c>
      <c r="W70" s="76">
        <v>64</v>
      </c>
      <c r="X70" s="76">
        <v>56.8</v>
      </c>
      <c r="Y70" s="65">
        <v>63</v>
      </c>
      <c r="Z70" s="65">
        <v>61.4</v>
      </c>
      <c r="AA70" s="65">
        <v>60.5</v>
      </c>
      <c r="AB70" s="65">
        <v>58.8</v>
      </c>
      <c r="AC70" s="65">
        <v>55.9</v>
      </c>
      <c r="AD70" s="65">
        <v>55</v>
      </c>
      <c r="AE70" s="65">
        <v>51.1</v>
      </c>
      <c r="AF70" s="65">
        <v>57.6</v>
      </c>
      <c r="AG70" s="75"/>
      <c r="AH70" s="47">
        <f t="shared" si="2"/>
        <v>66.5</v>
      </c>
      <c r="AI70" s="48">
        <f t="shared" si="3"/>
        <v>51.1</v>
      </c>
      <c r="AK70" s="49"/>
    </row>
    <row r="71" spans="1:40" x14ac:dyDescent="0.25">
      <c r="A71" s="53" t="s">
        <v>79</v>
      </c>
      <c r="B71" s="45">
        <v>75</v>
      </c>
      <c r="C71" s="45">
        <v>75</v>
      </c>
      <c r="D71" s="45">
        <v>75</v>
      </c>
      <c r="E71" s="45">
        <v>0</v>
      </c>
      <c r="F71" s="45">
        <v>62</v>
      </c>
      <c r="G71" s="45">
        <v>73</v>
      </c>
      <c r="H71" s="45">
        <v>73</v>
      </c>
      <c r="I71" s="45">
        <v>73</v>
      </c>
      <c r="J71" s="45">
        <v>73</v>
      </c>
      <c r="K71" s="45">
        <v>73</v>
      </c>
      <c r="L71" s="45">
        <v>73</v>
      </c>
      <c r="M71" s="45">
        <v>75</v>
      </c>
      <c r="N71" s="45">
        <v>72</v>
      </c>
      <c r="O71" s="45">
        <v>74</v>
      </c>
      <c r="P71" s="45">
        <v>74</v>
      </c>
      <c r="Q71" s="45">
        <v>74</v>
      </c>
      <c r="R71" s="45">
        <v>74</v>
      </c>
      <c r="S71" s="45">
        <v>74</v>
      </c>
      <c r="T71" s="45">
        <v>65</v>
      </c>
      <c r="U71" s="45">
        <v>67</v>
      </c>
      <c r="V71" s="45">
        <v>67</v>
      </c>
      <c r="W71" s="45">
        <v>67</v>
      </c>
      <c r="X71" s="45">
        <v>67</v>
      </c>
      <c r="Y71" s="45">
        <v>78</v>
      </c>
      <c r="Z71" s="45">
        <v>78</v>
      </c>
      <c r="AA71" s="45">
        <v>78</v>
      </c>
      <c r="AB71" s="45">
        <v>70</v>
      </c>
      <c r="AC71" s="45">
        <v>80</v>
      </c>
      <c r="AD71" s="45">
        <v>92</v>
      </c>
      <c r="AE71" s="45">
        <v>86</v>
      </c>
      <c r="AF71" s="45">
        <v>83</v>
      </c>
      <c r="AG71" s="75"/>
      <c r="AH71" s="47">
        <f t="shared" si="2"/>
        <v>92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434.5</v>
      </c>
      <c r="C78" s="60">
        <f t="shared" si="10"/>
        <v>411.7</v>
      </c>
      <c r="D78" s="60">
        <f t="shared" si="10"/>
        <v>410.09999999999997</v>
      </c>
      <c r="E78" s="60">
        <f t="shared" si="10"/>
        <v>387.2</v>
      </c>
      <c r="F78" s="60">
        <f t="shared" si="10"/>
        <v>387.8</v>
      </c>
      <c r="G78" s="60">
        <f t="shared" si="10"/>
        <v>378.1</v>
      </c>
      <c r="H78" s="60">
        <f t="shared" si="10"/>
        <v>420.4</v>
      </c>
      <c r="I78" s="60">
        <f t="shared" si="10"/>
        <v>420.9</v>
      </c>
      <c r="J78" s="60">
        <f t="shared" si="10"/>
        <v>251.6</v>
      </c>
      <c r="K78" s="60">
        <f t="shared" si="10"/>
        <v>141.69999999999999</v>
      </c>
      <c r="L78" s="60">
        <f t="shared" si="10"/>
        <v>146.1</v>
      </c>
      <c r="M78" s="60">
        <f t="shared" si="10"/>
        <v>142.6</v>
      </c>
      <c r="N78" s="60">
        <f t="shared" si="10"/>
        <v>202.8</v>
      </c>
      <c r="O78" s="60">
        <f t="shared" si="10"/>
        <v>394.2</v>
      </c>
      <c r="P78" s="60">
        <f t="shared" si="10"/>
        <v>447</v>
      </c>
      <c r="Q78" s="60">
        <f t="shared" si="10"/>
        <v>486.5</v>
      </c>
      <c r="R78" s="60">
        <f t="shared" si="10"/>
        <v>495.5</v>
      </c>
      <c r="S78" s="60">
        <f t="shared" si="10"/>
        <v>500.5</v>
      </c>
      <c r="T78" s="60">
        <f t="shared" si="10"/>
        <v>504</v>
      </c>
      <c r="U78" s="60">
        <f t="shared" si="10"/>
        <v>492</v>
      </c>
      <c r="V78" s="60">
        <f t="shared" si="10"/>
        <v>392</v>
      </c>
      <c r="W78" s="60">
        <f t="shared" si="10"/>
        <v>392</v>
      </c>
      <c r="X78" s="60">
        <f t="shared" si="10"/>
        <v>338.8</v>
      </c>
      <c r="Y78" s="60">
        <v>438</v>
      </c>
      <c r="Z78" s="60">
        <f t="shared" si="10"/>
        <v>304.39999999999998</v>
      </c>
      <c r="AA78" s="60">
        <f t="shared" si="10"/>
        <v>263.5</v>
      </c>
      <c r="AB78" s="60">
        <f t="shared" si="10"/>
        <v>365.8</v>
      </c>
      <c r="AC78" s="60">
        <f t="shared" si="10"/>
        <v>484.4</v>
      </c>
      <c r="AD78" s="60">
        <f t="shared" si="10"/>
        <v>487.6</v>
      </c>
      <c r="AE78" s="60">
        <f t="shared" si="10"/>
        <v>444.1</v>
      </c>
      <c r="AF78" s="60">
        <f t="shared" si="10"/>
        <v>466.6</v>
      </c>
      <c r="AG78" s="88">
        <f>SUM(AG67:AG77)</f>
        <v>0</v>
      </c>
      <c r="AH78" s="47">
        <f t="shared" si="8"/>
        <v>504</v>
      </c>
      <c r="AI78" s="48">
        <f t="shared" si="9"/>
        <v>141.69999999999999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969.04000000000008</v>
      </c>
      <c r="C83" s="95">
        <f t="shared" ref="C83:AG83" si="11">C44+C48+C66+C62+C78+C82</f>
        <v>921.24</v>
      </c>
      <c r="D83" s="95">
        <f t="shared" si="11"/>
        <v>919.6400000000001</v>
      </c>
      <c r="E83" s="95">
        <f t="shared" si="11"/>
        <v>892.04</v>
      </c>
      <c r="F83" s="95">
        <f t="shared" si="11"/>
        <v>897.1400000000001</v>
      </c>
      <c r="G83" s="95">
        <f t="shared" si="11"/>
        <v>963.54</v>
      </c>
      <c r="H83" s="95">
        <f t="shared" si="11"/>
        <v>1025.54</v>
      </c>
      <c r="I83" s="95">
        <f t="shared" si="11"/>
        <v>1101.04</v>
      </c>
      <c r="J83" s="95">
        <f t="shared" si="11"/>
        <v>1188.2399999999998</v>
      </c>
      <c r="K83" s="95">
        <f t="shared" si="11"/>
        <v>1236.74</v>
      </c>
      <c r="L83" s="95">
        <f t="shared" si="11"/>
        <v>1245.9399999999998</v>
      </c>
      <c r="M83" s="95">
        <f t="shared" si="11"/>
        <v>1272.3399999999999</v>
      </c>
      <c r="N83" s="95">
        <f t="shared" si="11"/>
        <v>1331.34</v>
      </c>
      <c r="O83" s="95">
        <f t="shared" si="11"/>
        <v>1258.74</v>
      </c>
      <c r="P83" s="95">
        <f t="shared" si="11"/>
        <v>1166.74</v>
      </c>
      <c r="Q83" s="95">
        <f t="shared" si="11"/>
        <v>1172.04</v>
      </c>
      <c r="R83" s="95">
        <f t="shared" si="11"/>
        <v>1181.04</v>
      </c>
      <c r="S83" s="95">
        <f t="shared" si="11"/>
        <v>1157.8399999999999</v>
      </c>
      <c r="T83" s="95">
        <f t="shared" si="11"/>
        <v>1221.44</v>
      </c>
      <c r="U83" s="95">
        <f t="shared" si="11"/>
        <v>1257.44</v>
      </c>
      <c r="V83" s="95">
        <f t="shared" si="11"/>
        <v>1137.44</v>
      </c>
      <c r="W83" s="95">
        <f t="shared" si="11"/>
        <v>1244.74</v>
      </c>
      <c r="X83" s="95">
        <f t="shared" si="11"/>
        <v>1238.3399999999999</v>
      </c>
      <c r="Y83" s="95">
        <v>1415.24</v>
      </c>
      <c r="Z83" s="95">
        <f t="shared" si="11"/>
        <v>1363.8400000000001</v>
      </c>
      <c r="AA83" s="95">
        <f t="shared" si="11"/>
        <v>1294.74</v>
      </c>
      <c r="AB83" s="95">
        <f t="shared" si="11"/>
        <v>1230.1399999999999</v>
      </c>
      <c r="AC83" s="95">
        <f t="shared" si="11"/>
        <v>1187.1399999999999</v>
      </c>
      <c r="AD83" s="95">
        <f t="shared" si="11"/>
        <v>1154.04</v>
      </c>
      <c r="AE83" s="95">
        <f t="shared" si="11"/>
        <v>1074.6399999999999</v>
      </c>
      <c r="AF83" s="95">
        <f t="shared" si="11"/>
        <v>988.84</v>
      </c>
      <c r="AG83" s="61">
        <f t="shared" si="11"/>
        <v>2004.1900000000003</v>
      </c>
      <c r="AH83" s="47">
        <f>MAX(B83:AF83)</f>
        <v>1415.24</v>
      </c>
      <c r="AI83" s="48">
        <f>MIN(B83:AF83)</f>
        <v>892.04</v>
      </c>
    </row>
    <row r="84" spans="1:37" ht="15.75" thickBot="1" x14ac:dyDescent="0.3">
      <c r="A84" s="96" t="s">
        <v>95</v>
      </c>
      <c r="B84" s="97">
        <v>70</v>
      </c>
      <c r="C84" s="97">
        <v>70</v>
      </c>
      <c r="D84" s="97">
        <v>70</v>
      </c>
      <c r="E84" s="97">
        <v>70</v>
      </c>
      <c r="F84" s="97">
        <v>70</v>
      </c>
      <c r="G84" s="97">
        <v>70</v>
      </c>
      <c r="H84" s="97">
        <v>70</v>
      </c>
      <c r="I84" s="97">
        <v>70</v>
      </c>
      <c r="J84" s="97">
        <v>70</v>
      </c>
      <c r="K84" s="97">
        <v>150</v>
      </c>
      <c r="L84" s="97">
        <v>170</v>
      </c>
      <c r="M84" s="97">
        <v>180</v>
      </c>
      <c r="N84" s="97">
        <v>180</v>
      </c>
      <c r="O84" s="97">
        <v>125</v>
      </c>
      <c r="P84" s="97"/>
      <c r="Q84" s="97"/>
      <c r="R84" s="97"/>
      <c r="S84" s="97">
        <v>45</v>
      </c>
      <c r="T84" s="97">
        <v>45</v>
      </c>
      <c r="U84" s="97">
        <v>45</v>
      </c>
      <c r="V84" s="97">
        <v>45</v>
      </c>
      <c r="W84" s="97">
        <v>45</v>
      </c>
      <c r="X84" s="97">
        <v>150</v>
      </c>
      <c r="Y84" s="97">
        <v>150</v>
      </c>
      <c r="Z84" s="97">
        <v>150</v>
      </c>
      <c r="AA84" s="97">
        <v>150</v>
      </c>
      <c r="AB84" s="97">
        <v>150</v>
      </c>
      <c r="AC84" s="97">
        <v>150</v>
      </c>
      <c r="AD84" s="97">
        <v>50</v>
      </c>
      <c r="AE84" s="97">
        <v>50</v>
      </c>
      <c r="AF84" s="97">
        <v>50</v>
      </c>
      <c r="AG84" s="88"/>
      <c r="AH84" s="47">
        <f t="shared" si="8"/>
        <v>180</v>
      </c>
      <c r="AI84" s="48">
        <f t="shared" si="9"/>
        <v>45</v>
      </c>
    </row>
    <row r="85" spans="1:37" ht="15.75" thickBot="1" x14ac:dyDescent="0.3">
      <c r="A85" s="74" t="s">
        <v>96</v>
      </c>
      <c r="B85" s="95">
        <f>B83+B84</f>
        <v>1039.04</v>
      </c>
      <c r="C85" s="95">
        <f t="shared" ref="C85:AF85" si="12">C83+C84</f>
        <v>991.24</v>
      </c>
      <c r="D85" s="95">
        <f t="shared" si="12"/>
        <v>989.6400000000001</v>
      </c>
      <c r="E85" s="95">
        <f t="shared" si="12"/>
        <v>962.04</v>
      </c>
      <c r="F85" s="95">
        <f t="shared" si="12"/>
        <v>967.1400000000001</v>
      </c>
      <c r="G85" s="95">
        <f t="shared" si="12"/>
        <v>1033.54</v>
      </c>
      <c r="H85" s="95">
        <f t="shared" si="12"/>
        <v>1095.54</v>
      </c>
      <c r="I85" s="95">
        <f t="shared" si="12"/>
        <v>1171.04</v>
      </c>
      <c r="J85" s="95">
        <f t="shared" si="12"/>
        <v>1258.2399999999998</v>
      </c>
      <c r="K85" s="95">
        <f t="shared" si="12"/>
        <v>1386.74</v>
      </c>
      <c r="L85" s="95">
        <f t="shared" si="12"/>
        <v>1415.9399999999998</v>
      </c>
      <c r="M85" s="95">
        <f t="shared" si="12"/>
        <v>1452.34</v>
      </c>
      <c r="N85" s="95">
        <f t="shared" si="12"/>
        <v>1511.34</v>
      </c>
      <c r="O85" s="95">
        <f t="shared" si="12"/>
        <v>1383.74</v>
      </c>
      <c r="P85" s="95">
        <f t="shared" si="12"/>
        <v>1166.74</v>
      </c>
      <c r="Q85" s="95">
        <f t="shared" si="12"/>
        <v>1172.04</v>
      </c>
      <c r="R85" s="95">
        <f t="shared" si="12"/>
        <v>1181.04</v>
      </c>
      <c r="S85" s="95">
        <f t="shared" si="12"/>
        <v>1202.8399999999999</v>
      </c>
      <c r="T85" s="95">
        <f t="shared" si="12"/>
        <v>1266.44</v>
      </c>
      <c r="U85" s="95">
        <f t="shared" si="12"/>
        <v>1302.44</v>
      </c>
      <c r="V85" s="95">
        <f t="shared" si="12"/>
        <v>1182.44</v>
      </c>
      <c r="W85" s="95">
        <f t="shared" si="12"/>
        <v>1289.74</v>
      </c>
      <c r="X85" s="95">
        <f t="shared" si="12"/>
        <v>1388.34</v>
      </c>
      <c r="Y85" s="95">
        <v>1565.24</v>
      </c>
      <c r="Z85" s="95">
        <f t="shared" si="12"/>
        <v>1513.8400000000001</v>
      </c>
      <c r="AA85" s="95">
        <f t="shared" si="12"/>
        <v>1444.74</v>
      </c>
      <c r="AB85" s="95">
        <f t="shared" si="12"/>
        <v>1380.1399999999999</v>
      </c>
      <c r="AC85" s="95">
        <f t="shared" si="12"/>
        <v>1337.1399999999999</v>
      </c>
      <c r="AD85" s="95">
        <f t="shared" si="12"/>
        <v>1204.04</v>
      </c>
      <c r="AE85" s="95">
        <f t="shared" si="12"/>
        <v>1124.6399999999999</v>
      </c>
      <c r="AF85" s="95">
        <f t="shared" si="12"/>
        <v>1038.8400000000001</v>
      </c>
      <c r="AG85" s="88">
        <f>AG82+AG78+AG66+AG62+AG44+AG84</f>
        <v>1466.0900000000001</v>
      </c>
      <c r="AH85" s="47">
        <f t="shared" si="8"/>
        <v>1565.24</v>
      </c>
      <c r="AI85" s="48">
        <f t="shared" si="9"/>
        <v>962.04</v>
      </c>
    </row>
    <row r="86" spans="1:37" ht="15.75" thickBot="1" x14ac:dyDescent="0.3">
      <c r="A86" s="74" t="s">
        <v>97</v>
      </c>
      <c r="B86" s="95">
        <f t="shared" ref="B86:AF86" si="13">B85-B93</f>
        <v>1039.04</v>
      </c>
      <c r="C86" s="95">
        <f t="shared" si="13"/>
        <v>991.24</v>
      </c>
      <c r="D86" s="95">
        <f t="shared" si="13"/>
        <v>989.6400000000001</v>
      </c>
      <c r="E86" s="95">
        <f t="shared" si="13"/>
        <v>962.04</v>
      </c>
      <c r="F86" s="95">
        <f t="shared" si="13"/>
        <v>967.1400000000001</v>
      </c>
      <c r="G86" s="95">
        <f t="shared" si="13"/>
        <v>1033.54</v>
      </c>
      <c r="H86" s="95">
        <f t="shared" si="13"/>
        <v>1095.54</v>
      </c>
      <c r="I86" s="95">
        <f t="shared" si="13"/>
        <v>1171.04</v>
      </c>
      <c r="J86" s="95">
        <f t="shared" si="13"/>
        <v>1258.2399999999998</v>
      </c>
      <c r="K86" s="95">
        <f t="shared" si="13"/>
        <v>1386.74</v>
      </c>
      <c r="L86" s="95">
        <f t="shared" si="13"/>
        <v>1415.9399999999998</v>
      </c>
      <c r="M86" s="95">
        <f t="shared" si="13"/>
        <v>1452.34</v>
      </c>
      <c r="N86" s="95">
        <f t="shared" si="13"/>
        <v>1511.34</v>
      </c>
      <c r="O86" s="95">
        <f t="shared" si="13"/>
        <v>1383.74</v>
      </c>
      <c r="P86" s="95">
        <f t="shared" si="13"/>
        <v>1166.74</v>
      </c>
      <c r="Q86" s="95">
        <f t="shared" si="13"/>
        <v>1172.04</v>
      </c>
      <c r="R86" s="95">
        <f t="shared" si="13"/>
        <v>1181.04</v>
      </c>
      <c r="S86" s="95">
        <f t="shared" si="13"/>
        <v>1202.8399999999999</v>
      </c>
      <c r="T86" s="95">
        <f t="shared" si="13"/>
        <v>1266.44</v>
      </c>
      <c r="U86" s="95">
        <f t="shared" si="13"/>
        <v>1302.44</v>
      </c>
      <c r="V86" s="95">
        <f t="shared" si="13"/>
        <v>1182.44</v>
      </c>
      <c r="W86" s="95">
        <f t="shared" si="13"/>
        <v>1289.74</v>
      </c>
      <c r="X86" s="95">
        <f t="shared" si="13"/>
        <v>1388.34</v>
      </c>
      <c r="Y86" s="95">
        <v>1565.24</v>
      </c>
      <c r="Z86" s="95">
        <f t="shared" si="13"/>
        <v>1513.8400000000001</v>
      </c>
      <c r="AA86" s="95">
        <f t="shared" si="13"/>
        <v>1444.74</v>
      </c>
      <c r="AB86" s="95">
        <f t="shared" si="13"/>
        <v>1380.1399999999999</v>
      </c>
      <c r="AC86" s="95">
        <f t="shared" si="13"/>
        <v>1337.1399999999999</v>
      </c>
      <c r="AD86" s="95">
        <f t="shared" si="13"/>
        <v>1204.04</v>
      </c>
      <c r="AE86" s="95">
        <f t="shared" si="13"/>
        <v>1124.6399999999999</v>
      </c>
      <c r="AF86" s="95">
        <f t="shared" si="13"/>
        <v>1038.8400000000001</v>
      </c>
      <c r="AG86" s="88"/>
      <c r="AH86" s="47">
        <f t="shared" si="8"/>
        <v>1565.24</v>
      </c>
      <c r="AI86" s="48">
        <f t="shared" si="9"/>
        <v>962.04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434.5</v>
      </c>
      <c r="C94" s="60">
        <f t="shared" si="14"/>
        <v>411.7</v>
      </c>
      <c r="D94" s="60">
        <f t="shared" si="14"/>
        <v>410.09999999999997</v>
      </c>
      <c r="E94" s="60">
        <f t="shared" si="14"/>
        <v>387.2</v>
      </c>
      <c r="F94" s="60">
        <f t="shared" si="14"/>
        <v>387.8</v>
      </c>
      <c r="G94" s="60">
        <f t="shared" si="14"/>
        <v>378.1</v>
      </c>
      <c r="H94" s="60">
        <f t="shared" si="14"/>
        <v>420.4</v>
      </c>
      <c r="I94" s="60">
        <f t="shared" si="14"/>
        <v>420.9</v>
      </c>
      <c r="J94" s="60">
        <f t="shared" si="14"/>
        <v>251.6</v>
      </c>
      <c r="K94" s="60">
        <f t="shared" si="14"/>
        <v>141.69999999999999</v>
      </c>
      <c r="L94" s="60">
        <f t="shared" si="14"/>
        <v>146.1</v>
      </c>
      <c r="M94" s="60">
        <f t="shared" si="14"/>
        <v>142.6</v>
      </c>
      <c r="N94" s="60">
        <f t="shared" si="14"/>
        <v>202.8</v>
      </c>
      <c r="O94" s="60">
        <f t="shared" si="14"/>
        <v>394.2</v>
      </c>
      <c r="P94" s="60">
        <f t="shared" si="14"/>
        <v>447</v>
      </c>
      <c r="Q94" s="60">
        <f t="shared" si="14"/>
        <v>486.5</v>
      </c>
      <c r="R94" s="60">
        <f t="shared" si="14"/>
        <v>495.5</v>
      </c>
      <c r="S94" s="60">
        <f t="shared" si="14"/>
        <v>500.5</v>
      </c>
      <c r="T94" s="60">
        <f t="shared" si="14"/>
        <v>504</v>
      </c>
      <c r="U94" s="60">
        <f t="shared" si="14"/>
        <v>492</v>
      </c>
      <c r="V94" s="60">
        <f t="shared" si="14"/>
        <v>392</v>
      </c>
      <c r="W94" s="60">
        <f t="shared" si="14"/>
        <v>392</v>
      </c>
      <c r="X94" s="60">
        <f t="shared" si="14"/>
        <v>338.8</v>
      </c>
      <c r="Y94" s="60">
        <v>438</v>
      </c>
      <c r="Z94" s="60">
        <f t="shared" si="14"/>
        <v>304.39999999999998</v>
      </c>
      <c r="AA94" s="60">
        <f t="shared" si="14"/>
        <v>263.5</v>
      </c>
      <c r="AB94" s="60">
        <f t="shared" si="14"/>
        <v>365.8</v>
      </c>
      <c r="AC94" s="60">
        <f t="shared" si="14"/>
        <v>484.4</v>
      </c>
      <c r="AD94" s="60">
        <f t="shared" si="14"/>
        <v>487.6</v>
      </c>
      <c r="AE94" s="60">
        <f t="shared" si="14"/>
        <v>444.1</v>
      </c>
      <c r="AF94" s="60">
        <f t="shared" si="14"/>
        <v>466.6</v>
      </c>
      <c r="AG94" s="88"/>
      <c r="AH94" s="47">
        <f t="shared" si="8"/>
        <v>504</v>
      </c>
      <c r="AI94" s="48">
        <f t="shared" si="9"/>
        <v>141.69999999999999</v>
      </c>
    </row>
    <row r="95" spans="1:37" x14ac:dyDescent="0.25">
      <c r="A95" s="100" t="s">
        <v>103</v>
      </c>
      <c r="B95" s="101">
        <v>49.914999999999999</v>
      </c>
      <c r="C95" s="101">
        <v>50.005000000000003</v>
      </c>
      <c r="D95" s="101">
        <v>50.029000000000003</v>
      </c>
      <c r="E95" s="101">
        <v>50</v>
      </c>
      <c r="F95" s="101">
        <v>49.991</v>
      </c>
      <c r="G95" s="101">
        <v>49.912999999999997</v>
      </c>
      <c r="H95" s="101">
        <v>50.061999999999998</v>
      </c>
      <c r="I95" s="101">
        <v>50.029000000000003</v>
      </c>
      <c r="J95" s="101">
        <v>49.853999999999999</v>
      </c>
      <c r="K95" s="101">
        <v>49.826000000000001</v>
      </c>
      <c r="L95" s="101">
        <v>49.771999999999998</v>
      </c>
      <c r="M95" s="101">
        <v>50.006500000000003</v>
      </c>
      <c r="N95" s="101">
        <v>50.021000000000001</v>
      </c>
      <c r="O95" s="101">
        <v>49.997</v>
      </c>
      <c r="P95" s="101">
        <v>50.026000000000003</v>
      </c>
      <c r="Q95" s="101">
        <v>49.905999999999999</v>
      </c>
      <c r="R95" s="101">
        <v>49.905999999999999</v>
      </c>
      <c r="S95" s="101">
        <v>50.01</v>
      </c>
      <c r="T95" s="101">
        <v>50.05</v>
      </c>
      <c r="U95" s="101">
        <v>50.02</v>
      </c>
      <c r="V95" s="101">
        <v>49.84</v>
      </c>
      <c r="W95" s="101">
        <v>50</v>
      </c>
      <c r="X95" s="101">
        <v>49.9</v>
      </c>
      <c r="Y95" s="101">
        <v>50.05</v>
      </c>
      <c r="Z95" s="101">
        <v>49.96</v>
      </c>
      <c r="AA95" s="101">
        <v>49.94</v>
      </c>
      <c r="AB95" s="101">
        <v>50.066000000000003</v>
      </c>
      <c r="AC95" s="101">
        <v>49.972999999999999</v>
      </c>
      <c r="AD95" s="101">
        <v>50.113999999999997</v>
      </c>
      <c r="AE95" s="101">
        <v>50</v>
      </c>
      <c r="AF95" s="101">
        <v>49.951999999999998</v>
      </c>
      <c r="AG95" s="102"/>
      <c r="AH95" s="47">
        <f t="shared" si="8"/>
        <v>50.113999999999997</v>
      </c>
      <c r="AI95" s="48">
        <f t="shared" si="9"/>
        <v>49.771999999999998</v>
      </c>
    </row>
    <row r="96" spans="1:37" x14ac:dyDescent="0.25">
      <c r="A96" s="103" t="s">
        <v>104</v>
      </c>
      <c r="B96" s="65">
        <v>128.9</v>
      </c>
      <c r="C96" s="65">
        <v>130</v>
      </c>
      <c r="D96" s="65">
        <v>130.4</v>
      </c>
      <c r="E96" s="65">
        <v>128</v>
      </c>
      <c r="F96" s="65">
        <v>130.9</v>
      </c>
      <c r="G96" s="65">
        <v>130.19999999999999</v>
      </c>
      <c r="H96" s="65">
        <v>128.9</v>
      </c>
      <c r="I96" s="65">
        <v>128.30000000000001</v>
      </c>
      <c r="J96" s="65">
        <v>127</v>
      </c>
      <c r="K96" s="65">
        <v>127.4</v>
      </c>
      <c r="L96" s="65">
        <v>124.8</v>
      </c>
      <c r="M96" s="65">
        <v>125.6</v>
      </c>
      <c r="N96" s="65">
        <v>123.9</v>
      </c>
      <c r="O96" s="65">
        <v>129.4</v>
      </c>
      <c r="P96" s="65">
        <v>128.4</v>
      </c>
      <c r="Q96" s="65">
        <v>126</v>
      </c>
      <c r="R96" s="65">
        <v>126</v>
      </c>
      <c r="S96" s="65">
        <v>125.4</v>
      </c>
      <c r="T96" s="65">
        <v>126.6</v>
      </c>
      <c r="U96" s="65">
        <v>127</v>
      </c>
      <c r="V96" s="65">
        <v>129.5</v>
      </c>
      <c r="W96" s="65">
        <v>129.6</v>
      </c>
      <c r="X96" s="65">
        <v>128.9</v>
      </c>
      <c r="Y96" s="65">
        <v>128.19999999999999</v>
      </c>
      <c r="Z96" s="65">
        <v>129.19999999999999</v>
      </c>
      <c r="AA96" s="65">
        <v>129.4</v>
      </c>
      <c r="AB96" s="65">
        <v>129.4</v>
      </c>
      <c r="AC96" s="65">
        <v>128</v>
      </c>
      <c r="AD96" s="65">
        <v>130.19999999999999</v>
      </c>
      <c r="AE96" s="65">
        <v>130.19999999999999</v>
      </c>
      <c r="AF96" s="65">
        <v>129.5</v>
      </c>
      <c r="AG96" s="104"/>
      <c r="AH96" s="47">
        <f t="shared" si="8"/>
        <v>130.9</v>
      </c>
      <c r="AI96" s="48">
        <f t="shared" si="9"/>
        <v>123.9</v>
      </c>
    </row>
    <row r="97" spans="1:35" x14ac:dyDescent="0.25">
      <c r="A97" s="103" t="s">
        <v>105</v>
      </c>
      <c r="B97" s="65">
        <v>131.4</v>
      </c>
      <c r="C97" s="65">
        <v>132.80000000000001</v>
      </c>
      <c r="D97" s="65">
        <v>133.19999999999999</v>
      </c>
      <c r="E97" s="65">
        <v>131.69999999999999</v>
      </c>
      <c r="F97" s="65">
        <v>133.6</v>
      </c>
      <c r="G97" s="65">
        <v>133.1</v>
      </c>
      <c r="H97" s="65">
        <v>131.6</v>
      </c>
      <c r="I97" s="65">
        <v>130.80000000000001</v>
      </c>
      <c r="J97" s="65">
        <v>129.19999999999999</v>
      </c>
      <c r="K97" s="65">
        <v>130</v>
      </c>
      <c r="L97" s="65">
        <v>127.6</v>
      </c>
      <c r="M97" s="65">
        <v>128.19999999999999</v>
      </c>
      <c r="N97" s="65">
        <v>126.7</v>
      </c>
      <c r="O97" s="65">
        <v>131.5</v>
      </c>
      <c r="P97" s="65">
        <v>130.4</v>
      </c>
      <c r="Q97" s="65">
        <v>128.1</v>
      </c>
      <c r="R97" s="65">
        <v>128.1</v>
      </c>
      <c r="S97" s="65">
        <v>128</v>
      </c>
      <c r="T97" s="65">
        <v>129</v>
      </c>
      <c r="U97" s="65">
        <v>129.4</v>
      </c>
      <c r="V97" s="65">
        <v>131</v>
      </c>
      <c r="W97" s="65">
        <v>130.69999999999999</v>
      </c>
      <c r="X97" s="65">
        <v>130.1</v>
      </c>
      <c r="Y97" s="65">
        <v>129.6</v>
      </c>
      <c r="Z97" s="65">
        <v>130.6</v>
      </c>
      <c r="AA97" s="65">
        <v>130.80000000000001</v>
      </c>
      <c r="AB97" s="65">
        <v>130.80000000000001</v>
      </c>
      <c r="AC97" s="65">
        <v>130</v>
      </c>
      <c r="AD97" s="65">
        <v>132.5</v>
      </c>
      <c r="AE97" s="65">
        <v>132.5</v>
      </c>
      <c r="AF97" s="65">
        <v>132.4</v>
      </c>
      <c r="AG97" s="104"/>
      <c r="AH97" s="47">
        <f t="shared" si="8"/>
        <v>133.6</v>
      </c>
      <c r="AI97" s="48">
        <f t="shared" si="9"/>
        <v>126.7</v>
      </c>
    </row>
    <row r="98" spans="1:35" x14ac:dyDescent="0.25">
      <c r="A98" s="103" t="s">
        <v>106</v>
      </c>
      <c r="B98" s="65">
        <v>129.80000000000001</v>
      </c>
      <c r="C98" s="65">
        <v>131.4</v>
      </c>
      <c r="D98" s="65">
        <v>131.80000000000001</v>
      </c>
      <c r="E98" s="65">
        <v>130.30000000000001</v>
      </c>
      <c r="F98" s="65">
        <v>131.6</v>
      </c>
      <c r="G98" s="65">
        <v>129.30000000000001</v>
      </c>
      <c r="H98" s="65">
        <v>128.30000000000001</v>
      </c>
      <c r="I98" s="65">
        <v>128.19999999999999</v>
      </c>
      <c r="J98" s="65">
        <v>127.7</v>
      </c>
      <c r="K98" s="65">
        <v>126.7</v>
      </c>
      <c r="L98" s="65">
        <v>125.8</v>
      </c>
      <c r="M98" s="65">
        <v>128.5</v>
      </c>
      <c r="N98" s="65">
        <v>128.30000000000001</v>
      </c>
      <c r="O98" s="65">
        <v>129</v>
      </c>
      <c r="P98" s="65">
        <v>128.19999999999999</v>
      </c>
      <c r="Q98" s="65">
        <v>129.4</v>
      </c>
      <c r="R98" s="65">
        <v>129.4</v>
      </c>
      <c r="S98" s="65">
        <v>127.7</v>
      </c>
      <c r="T98" s="65">
        <v>126</v>
      </c>
      <c r="U98" s="65">
        <v>128</v>
      </c>
      <c r="V98" s="65">
        <v>130.1</v>
      </c>
      <c r="W98" s="65">
        <v>129</v>
      </c>
      <c r="X98" s="65">
        <v>128.5</v>
      </c>
      <c r="Y98" s="65">
        <v>128.80000000000001</v>
      </c>
      <c r="Z98" s="65">
        <v>131.6</v>
      </c>
      <c r="AA98" s="65">
        <v>130.9</v>
      </c>
      <c r="AB98" s="65">
        <v>130.9</v>
      </c>
      <c r="AC98" s="65">
        <v>130</v>
      </c>
      <c r="AD98" s="65">
        <v>130.6</v>
      </c>
      <c r="AE98" s="65">
        <v>130.1</v>
      </c>
      <c r="AF98" s="65">
        <v>129</v>
      </c>
      <c r="AG98" s="104"/>
      <c r="AH98" s="47">
        <f t="shared" si="8"/>
        <v>131.80000000000001</v>
      </c>
      <c r="AI98" s="48">
        <f t="shared" si="9"/>
        <v>125.8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131</v>
      </c>
      <c r="C100" s="106">
        <v>129.19999999999999</v>
      </c>
      <c r="D100" s="106">
        <v>130.6</v>
      </c>
      <c r="E100" s="106">
        <v>131.30000000000001</v>
      </c>
      <c r="F100" s="106">
        <v>131.80000000000001</v>
      </c>
      <c r="G100" s="106">
        <v>132.80000000000001</v>
      </c>
      <c r="H100" s="106">
        <v>130</v>
      </c>
      <c r="I100" s="106">
        <v>133</v>
      </c>
      <c r="J100" s="106">
        <v>131</v>
      </c>
      <c r="K100" s="106">
        <v>134.1</v>
      </c>
      <c r="L100" s="106">
        <v>132.1</v>
      </c>
      <c r="M100" s="106">
        <v>134.1</v>
      </c>
      <c r="N100" s="106">
        <v>131.5</v>
      </c>
      <c r="O100" s="106">
        <v>138</v>
      </c>
      <c r="P100" s="106">
        <v>137</v>
      </c>
      <c r="Q100" s="106">
        <v>132.4</v>
      </c>
      <c r="R100" s="106">
        <v>132.4</v>
      </c>
      <c r="S100" s="106">
        <v>133.80000000000001</v>
      </c>
      <c r="T100" s="106">
        <v>131.4</v>
      </c>
      <c r="U100" s="106">
        <v>131.69999999999999</v>
      </c>
      <c r="V100" s="106">
        <v>134.30000000000001</v>
      </c>
      <c r="W100" s="106">
        <v>133.69999999999999</v>
      </c>
      <c r="X100" s="106">
        <v>133.1</v>
      </c>
      <c r="Y100" s="106">
        <v>133.80000000000001</v>
      </c>
      <c r="Z100" s="106">
        <v>135.69999999999999</v>
      </c>
      <c r="AA100" s="106">
        <v>133.80000000000001</v>
      </c>
      <c r="AB100" s="106">
        <v>133.80000000000001</v>
      </c>
      <c r="AC100" s="106">
        <v>134</v>
      </c>
      <c r="AD100" s="106">
        <v>132.30000000000001</v>
      </c>
      <c r="AE100" s="106">
        <v>133.6</v>
      </c>
      <c r="AF100" s="106">
        <v>132.1</v>
      </c>
      <c r="AG100" s="107"/>
      <c r="AH100" s="47">
        <f t="shared" si="8"/>
        <v>138</v>
      </c>
      <c r="AI100" s="48">
        <f t="shared" si="9"/>
        <v>129.19999999999999</v>
      </c>
    </row>
    <row r="101" spans="1:35" x14ac:dyDescent="0.25">
      <c r="A101" s="103" t="s">
        <v>109</v>
      </c>
      <c r="B101" s="65">
        <v>132.19999999999999</v>
      </c>
      <c r="C101" s="65"/>
      <c r="D101" s="65">
        <v>133.4</v>
      </c>
      <c r="E101" s="65">
        <v>132.4</v>
      </c>
      <c r="F101" s="65">
        <v>132.69999999999999</v>
      </c>
      <c r="G101" s="65">
        <v>133.4</v>
      </c>
      <c r="H101" s="65">
        <v>130.69999999999999</v>
      </c>
      <c r="I101" s="65">
        <v>132.30000000000001</v>
      </c>
      <c r="J101" s="65">
        <v>128.19999999999999</v>
      </c>
      <c r="K101" s="65">
        <v>130.80000000000001</v>
      </c>
      <c r="L101" s="65">
        <v>127.3</v>
      </c>
      <c r="M101" s="65">
        <v>130.6</v>
      </c>
      <c r="N101" s="65">
        <v>128.13</v>
      </c>
      <c r="O101" s="65">
        <v>130</v>
      </c>
      <c r="P101" s="65">
        <v>134.6</v>
      </c>
      <c r="Q101" s="65">
        <v>130.30000000000001</v>
      </c>
      <c r="R101" s="65">
        <v>130.30000000000001</v>
      </c>
      <c r="S101" s="65">
        <v>130.9</v>
      </c>
      <c r="T101" s="65">
        <v>128.30000000000001</v>
      </c>
      <c r="U101" s="65">
        <v>128</v>
      </c>
      <c r="V101" s="65">
        <v>131.69999999999999</v>
      </c>
      <c r="W101" s="65">
        <v>132.80000000000001</v>
      </c>
      <c r="X101" s="65">
        <v>132.30000000000001</v>
      </c>
      <c r="Y101" s="65">
        <v>132.69999999999999</v>
      </c>
      <c r="Z101" s="65">
        <v>135.4</v>
      </c>
      <c r="AA101" s="65">
        <v>134.19999999999999</v>
      </c>
      <c r="AB101" s="65">
        <v>134.19999999999999</v>
      </c>
      <c r="AC101" s="65">
        <v>133.6</v>
      </c>
      <c r="AD101" s="65">
        <v>134.1</v>
      </c>
      <c r="AE101" s="65">
        <v>132.19999999999999</v>
      </c>
      <c r="AF101" s="65">
        <v>131.30000000000001</v>
      </c>
      <c r="AG101" s="104"/>
      <c r="AH101" s="47">
        <f t="shared" si="8"/>
        <v>135.4</v>
      </c>
      <c r="AI101" s="48">
        <f t="shared" si="9"/>
        <v>127.3</v>
      </c>
    </row>
    <row r="102" spans="1:35" ht="15.75" thickBot="1" x14ac:dyDescent="0.3">
      <c r="A102" s="103" t="s">
        <v>110</v>
      </c>
      <c r="B102" s="92">
        <v>66.400000000000006</v>
      </c>
      <c r="C102" s="92">
        <v>66.900000000000006</v>
      </c>
      <c r="D102" s="92">
        <v>67.099999999999994</v>
      </c>
      <c r="E102" s="92">
        <v>66.5</v>
      </c>
      <c r="F102" s="92">
        <v>67.3</v>
      </c>
      <c r="G102" s="92">
        <v>66.900000000000006</v>
      </c>
      <c r="H102" s="92">
        <v>66.3</v>
      </c>
      <c r="I102" s="92">
        <v>65.7</v>
      </c>
      <c r="J102" s="92">
        <v>65</v>
      </c>
      <c r="K102" s="92">
        <v>65.400000000000006</v>
      </c>
      <c r="L102" s="92">
        <v>63.6</v>
      </c>
      <c r="M102" s="92">
        <v>64.3</v>
      </c>
      <c r="N102" s="92">
        <v>63.7</v>
      </c>
      <c r="O102" s="92">
        <v>66</v>
      </c>
      <c r="P102" s="92">
        <v>65.3</v>
      </c>
      <c r="Q102" s="92">
        <v>64</v>
      </c>
      <c r="R102" s="92">
        <v>64</v>
      </c>
      <c r="S102" s="92">
        <v>63.9</v>
      </c>
      <c r="T102" s="92">
        <v>64.5</v>
      </c>
      <c r="U102" s="92">
        <v>64.8</v>
      </c>
      <c r="V102" s="92">
        <v>65.5</v>
      </c>
      <c r="W102" s="92">
        <v>65.400000000000006</v>
      </c>
      <c r="X102" s="92">
        <v>65.2</v>
      </c>
      <c r="Y102" s="92">
        <v>64.900000000000006</v>
      </c>
      <c r="Z102" s="92">
        <v>65.400000000000006</v>
      </c>
      <c r="AA102" s="92">
        <v>65.7</v>
      </c>
      <c r="AB102" s="92">
        <v>65.7</v>
      </c>
      <c r="AC102" s="92">
        <v>65.5</v>
      </c>
      <c r="AD102" s="92">
        <v>66.7</v>
      </c>
      <c r="AE102" s="92">
        <v>66.599999999999994</v>
      </c>
      <c r="AF102" s="92">
        <v>66.400000000000006</v>
      </c>
      <c r="AG102" s="108"/>
      <c r="AH102" s="47">
        <f t="shared" si="8"/>
        <v>67.3</v>
      </c>
      <c r="AI102" s="48">
        <f t="shared" si="9"/>
        <v>63.6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252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120</v>
      </c>
      <c r="C104" s="111">
        <f t="shared" si="15"/>
        <v>116.84</v>
      </c>
      <c r="D104" s="111">
        <f t="shared" si="15"/>
        <v>109.14</v>
      </c>
      <c r="E104" s="111">
        <f t="shared" si="15"/>
        <v>107.43999999999998</v>
      </c>
      <c r="F104" s="111">
        <f t="shared" si="15"/>
        <v>107.74</v>
      </c>
      <c r="G104" s="111">
        <f t="shared" si="15"/>
        <v>129.13999999999999</v>
      </c>
      <c r="H104" s="111">
        <f t="shared" si="15"/>
        <v>157.74</v>
      </c>
      <c r="I104" s="111">
        <f t="shared" si="15"/>
        <v>186.74</v>
      </c>
      <c r="J104" s="111">
        <f t="shared" si="15"/>
        <v>231.14</v>
      </c>
      <c r="K104" s="111">
        <f t="shared" si="15"/>
        <v>281.24</v>
      </c>
      <c r="L104" s="111">
        <f t="shared" si="15"/>
        <v>307.54000000000002</v>
      </c>
      <c r="M104" s="111">
        <f t="shared" si="15"/>
        <v>324.74</v>
      </c>
      <c r="N104" s="111">
        <f t="shared" si="15"/>
        <v>303.64</v>
      </c>
      <c r="O104" s="111">
        <f t="shared" si="15"/>
        <v>289.14000000000004</v>
      </c>
      <c r="P104" s="111">
        <v>42</v>
      </c>
      <c r="Q104" s="111">
        <f t="shared" si="15"/>
        <v>254.6</v>
      </c>
      <c r="R104" s="111">
        <f t="shared" si="15"/>
        <v>254.6</v>
      </c>
      <c r="S104" s="111">
        <f t="shared" si="15"/>
        <v>240.8</v>
      </c>
      <c r="T104" s="111">
        <f t="shared" si="15"/>
        <v>447.29999999999995</v>
      </c>
      <c r="U104" s="111">
        <f t="shared" si="15"/>
        <v>254.8</v>
      </c>
      <c r="V104" s="111">
        <f t="shared" si="15"/>
        <v>224.29999999999998</v>
      </c>
      <c r="W104" s="111">
        <f t="shared" si="15"/>
        <v>294.79999999999995</v>
      </c>
      <c r="X104" s="111">
        <f t="shared" si="15"/>
        <v>278.01</v>
      </c>
      <c r="Y104" s="111">
        <v>385.99708333333336</v>
      </c>
      <c r="Z104" s="111">
        <f t="shared" si="15"/>
        <v>317.7</v>
      </c>
      <c r="AA104" s="111">
        <f t="shared" si="15"/>
        <v>312.2</v>
      </c>
      <c r="AB104" s="111">
        <f t="shared" si="15"/>
        <v>300.39999999999998</v>
      </c>
      <c r="AC104" s="111">
        <f t="shared" si="15"/>
        <v>276.3</v>
      </c>
      <c r="AD104" s="111">
        <f t="shared" si="15"/>
        <v>222.6</v>
      </c>
      <c r="AE104" s="111">
        <f t="shared" si="15"/>
        <v>175.9</v>
      </c>
      <c r="AF104" s="111">
        <f t="shared" si="15"/>
        <v>137.19999999999999</v>
      </c>
      <c r="AG104" s="112"/>
      <c r="AH104" s="47">
        <f t="shared" si="8"/>
        <v>447.29999999999995</v>
      </c>
      <c r="AI104" s="48">
        <f t="shared" si="9"/>
        <v>42</v>
      </c>
    </row>
    <row r="105" spans="1:35" x14ac:dyDescent="0.25">
      <c r="A105" s="100" t="s">
        <v>113</v>
      </c>
      <c r="B105" s="113">
        <v>-36.5</v>
      </c>
      <c r="C105" s="113">
        <v>-32.9</v>
      </c>
      <c r="D105" s="113">
        <v>-31.5</v>
      </c>
      <c r="E105" s="113">
        <v>-26.3</v>
      </c>
      <c r="F105" s="113">
        <v>-27.1</v>
      </c>
      <c r="G105" s="113">
        <v>-16.3</v>
      </c>
      <c r="H105" s="113">
        <v>-22.8</v>
      </c>
      <c r="I105" s="113">
        <v>-15.6</v>
      </c>
      <c r="J105" s="113">
        <v>0</v>
      </c>
      <c r="K105" s="113">
        <v>9.4</v>
      </c>
      <c r="L105" s="113">
        <v>25.5</v>
      </c>
      <c r="M105" s="113">
        <v>29.1</v>
      </c>
      <c r="N105" s="113">
        <v>20.9</v>
      </c>
      <c r="O105" s="113">
        <v>24.7</v>
      </c>
      <c r="P105" s="113">
        <v>19.3</v>
      </c>
      <c r="Q105" s="113">
        <v>4.3</v>
      </c>
      <c r="R105" s="113">
        <v>4.3</v>
      </c>
      <c r="S105" s="113">
        <v>3.6</v>
      </c>
      <c r="T105" s="113">
        <v>-3.4</v>
      </c>
      <c r="U105" s="113">
        <v>-9</v>
      </c>
      <c r="V105" s="113">
        <v>0</v>
      </c>
      <c r="W105" s="113">
        <v>1.3</v>
      </c>
      <c r="X105" s="113">
        <v>3.8</v>
      </c>
      <c r="Y105" s="113">
        <v>15.9</v>
      </c>
      <c r="Z105" s="113">
        <v>17.2</v>
      </c>
      <c r="AA105" s="113">
        <v>23.6</v>
      </c>
      <c r="AB105" s="113">
        <v>13</v>
      </c>
      <c r="AC105" s="113">
        <v>9.5</v>
      </c>
      <c r="AD105" s="113">
        <v>6.8</v>
      </c>
      <c r="AE105" s="113">
        <v>-10.6</v>
      </c>
      <c r="AF105" s="113">
        <v>-25.4</v>
      </c>
      <c r="AG105" s="114">
        <v>75</v>
      </c>
      <c r="AH105" s="47">
        <f t="shared" si="8"/>
        <v>29.1</v>
      </c>
      <c r="AI105" s="48">
        <f t="shared" si="9"/>
        <v>-36.5</v>
      </c>
    </row>
    <row r="106" spans="1:35" x14ac:dyDescent="0.25">
      <c r="A106" s="103" t="s">
        <v>114</v>
      </c>
      <c r="B106" s="115">
        <v>-44</v>
      </c>
      <c r="C106" s="115">
        <v>-38.5</v>
      </c>
      <c r="D106" s="115">
        <v>-36.700000000000003</v>
      </c>
      <c r="E106" s="115">
        <v>-30.1</v>
      </c>
      <c r="F106" s="115">
        <v>-31.9</v>
      </c>
      <c r="G106" s="115">
        <v>-19</v>
      </c>
      <c r="H106" s="115">
        <v>-27.2</v>
      </c>
      <c r="I106" s="115">
        <v>-17.899999999999999</v>
      </c>
      <c r="J106" s="115">
        <v>-1.4</v>
      </c>
      <c r="K106" s="115">
        <v>14.5</v>
      </c>
      <c r="L106" s="115">
        <v>30.5</v>
      </c>
      <c r="M106" s="115">
        <v>35.9</v>
      </c>
      <c r="N106" s="115">
        <v>23.2</v>
      </c>
      <c r="O106" s="115">
        <v>28</v>
      </c>
      <c r="P106" s="115">
        <v>27.6</v>
      </c>
      <c r="Q106" s="115">
        <v>8.5</v>
      </c>
      <c r="R106" s="115">
        <v>8.5</v>
      </c>
      <c r="S106" s="115">
        <v>7.5</v>
      </c>
      <c r="T106" s="115">
        <v>-3.5</v>
      </c>
      <c r="U106" s="115">
        <v>-9</v>
      </c>
      <c r="V106" s="115">
        <v>-3.8</v>
      </c>
      <c r="W106" s="115">
        <v>-4.3</v>
      </c>
      <c r="X106" s="115">
        <v>-2.2000000000000002</v>
      </c>
      <c r="Y106" s="115">
        <v>15.5</v>
      </c>
      <c r="Z106" s="115">
        <v>15.6</v>
      </c>
      <c r="AA106" s="115">
        <v>25.9</v>
      </c>
      <c r="AB106" s="115">
        <v>10.7</v>
      </c>
      <c r="AC106" s="115">
        <v>5.5</v>
      </c>
      <c r="AD106" s="115">
        <v>4.0999999999999996</v>
      </c>
      <c r="AE106" s="115">
        <v>-18.600000000000001</v>
      </c>
      <c r="AF106" s="115">
        <v>-31.2</v>
      </c>
      <c r="AG106" s="114">
        <v>240</v>
      </c>
      <c r="AH106" s="47">
        <f t="shared" si="8"/>
        <v>35.9</v>
      </c>
      <c r="AI106" s="48">
        <f t="shared" si="9"/>
        <v>-44</v>
      </c>
    </row>
    <row r="107" spans="1:35" x14ac:dyDescent="0.25">
      <c r="A107" s="103" t="s">
        <v>115</v>
      </c>
      <c r="B107" s="115">
        <v>6.5</v>
      </c>
      <c r="C107" s="115">
        <v>0</v>
      </c>
      <c r="D107" s="115">
        <v>-3.4</v>
      </c>
      <c r="E107" s="115">
        <v>-20</v>
      </c>
      <c r="F107" s="115">
        <v>-5.4</v>
      </c>
      <c r="G107" s="115">
        <v>-6.7</v>
      </c>
      <c r="H107" s="115">
        <v>8.6</v>
      </c>
      <c r="I107" s="115">
        <v>13</v>
      </c>
      <c r="J107" s="115">
        <v>12.6</v>
      </c>
      <c r="K107" s="115">
        <v>36.5</v>
      </c>
      <c r="L107" s="115">
        <v>33.299999999999997</v>
      </c>
      <c r="M107" s="115">
        <v>32</v>
      </c>
      <c r="N107" s="115">
        <v>41</v>
      </c>
      <c r="O107" s="115">
        <v>9.3000000000000007</v>
      </c>
      <c r="P107" s="115">
        <v>28</v>
      </c>
      <c r="Q107" s="115">
        <v>22</v>
      </c>
      <c r="R107" s="115">
        <v>22</v>
      </c>
      <c r="S107" s="115">
        <f>5+5.4</f>
        <v>10.4</v>
      </c>
      <c r="T107" s="115">
        <v>20</v>
      </c>
      <c r="U107" s="115">
        <v>25</v>
      </c>
      <c r="V107" s="115">
        <f>-18.8+12.6</f>
        <v>-6.2000000000000011</v>
      </c>
      <c r="W107" s="115">
        <v>46</v>
      </c>
      <c r="X107" s="115">
        <f>-7.9+23.21</f>
        <v>15.31</v>
      </c>
      <c r="Y107" s="115">
        <v>41.6</v>
      </c>
      <c r="Z107" s="115">
        <f>6.3+34.6</f>
        <v>40.9</v>
      </c>
      <c r="AA107" s="115">
        <f>13.1+29.5</f>
        <v>42.6</v>
      </c>
      <c r="AB107" s="115">
        <v>35</v>
      </c>
      <c r="AC107" s="115">
        <v>34.700000000000003</v>
      </c>
      <c r="AD107" s="115">
        <v>11.8</v>
      </c>
      <c r="AE107" s="115">
        <v>10.3</v>
      </c>
      <c r="AF107" s="115">
        <v>4.8</v>
      </c>
      <c r="AG107" s="114">
        <v>240</v>
      </c>
      <c r="AH107" s="47">
        <f t="shared" si="8"/>
        <v>46</v>
      </c>
      <c r="AI107" s="48">
        <f t="shared" si="9"/>
        <v>-20</v>
      </c>
    </row>
    <row r="108" spans="1:35" x14ac:dyDescent="0.25">
      <c r="A108" s="103" t="s">
        <v>116</v>
      </c>
      <c r="B108" s="115">
        <v>-1.1000000000000001</v>
      </c>
      <c r="C108" s="115">
        <v>0.6</v>
      </c>
      <c r="D108" s="115">
        <v>-0.9</v>
      </c>
      <c r="E108" s="115">
        <v>-3.3</v>
      </c>
      <c r="F108" s="115">
        <v>0</v>
      </c>
      <c r="G108" s="115">
        <v>-3.4</v>
      </c>
      <c r="H108" s="115">
        <v>0.4</v>
      </c>
      <c r="I108" s="115">
        <v>2.6</v>
      </c>
      <c r="J108" s="115">
        <v>8.8000000000000007</v>
      </c>
      <c r="K108" s="115">
        <v>14.4</v>
      </c>
      <c r="L108" s="115">
        <v>15.8</v>
      </c>
      <c r="M108" s="115">
        <v>18.5</v>
      </c>
      <c r="N108" s="115">
        <v>18.8</v>
      </c>
      <c r="O108" s="115">
        <v>34.700000000000003</v>
      </c>
      <c r="P108" s="115">
        <v>19.600000000000001</v>
      </c>
      <c r="Q108" s="115">
        <v>11.3</v>
      </c>
      <c r="R108" s="115">
        <v>11.3</v>
      </c>
      <c r="S108" s="115">
        <v>3.4</v>
      </c>
      <c r="T108" s="115">
        <v>222</v>
      </c>
      <c r="U108" s="115">
        <v>42.3</v>
      </c>
      <c r="V108" s="115">
        <v>41.7</v>
      </c>
      <c r="W108" s="115">
        <v>48.7</v>
      </c>
      <c r="X108" s="115">
        <v>53.2</v>
      </c>
      <c r="Y108" s="115">
        <v>58.3</v>
      </c>
      <c r="Z108" s="115">
        <v>53.8</v>
      </c>
      <c r="AA108" s="115">
        <v>41.1</v>
      </c>
      <c r="AB108" s="115">
        <v>26.7</v>
      </c>
      <c r="AC108" s="115">
        <v>14.8</v>
      </c>
      <c r="AD108" s="115">
        <v>8</v>
      </c>
      <c r="AE108" s="115">
        <v>4.5999999999999996</v>
      </c>
      <c r="AF108" s="115">
        <v>0.7</v>
      </c>
      <c r="AG108" s="114">
        <v>60</v>
      </c>
      <c r="AH108" s="47">
        <f t="shared" si="8"/>
        <v>222</v>
      </c>
      <c r="AI108" s="48">
        <f t="shared" si="9"/>
        <v>-3.4</v>
      </c>
    </row>
    <row r="109" spans="1:35" x14ac:dyDescent="0.25">
      <c r="A109" s="116" t="s">
        <v>117</v>
      </c>
      <c r="B109" s="117">
        <v>91.8</v>
      </c>
      <c r="C109" s="117">
        <v>83.4</v>
      </c>
      <c r="D109" s="117">
        <v>77.400000000000006</v>
      </c>
      <c r="E109" s="117">
        <v>85.6</v>
      </c>
      <c r="F109" s="117">
        <v>68.900000000000006</v>
      </c>
      <c r="G109" s="117">
        <v>71.3</v>
      </c>
      <c r="H109" s="117">
        <v>95.5</v>
      </c>
      <c r="I109" s="117">
        <v>102.4</v>
      </c>
      <c r="J109" s="117">
        <v>108.6</v>
      </c>
      <c r="K109" s="117">
        <v>103.9</v>
      </c>
      <c r="L109" s="117">
        <v>100.7</v>
      </c>
      <c r="M109" s="117">
        <v>107.5</v>
      </c>
      <c r="N109" s="117">
        <v>93</v>
      </c>
      <c r="O109" s="117">
        <v>80.900000000000006</v>
      </c>
      <c r="P109" s="117">
        <v>67.2</v>
      </c>
      <c r="Q109" s="117">
        <v>97.9</v>
      </c>
      <c r="R109" s="117">
        <v>97.9</v>
      </c>
      <c r="S109" s="117">
        <v>105.3</v>
      </c>
      <c r="T109" s="117">
        <v>101.6</v>
      </c>
      <c r="U109" s="117">
        <v>95</v>
      </c>
      <c r="V109" s="117">
        <v>82.1</v>
      </c>
      <c r="W109" s="117">
        <v>97.6</v>
      </c>
      <c r="X109" s="117">
        <v>107.4</v>
      </c>
      <c r="Y109" s="117">
        <v>91.1</v>
      </c>
      <c r="Z109" s="117">
        <v>89.7</v>
      </c>
      <c r="AA109" s="117">
        <v>78.5</v>
      </c>
      <c r="AB109" s="117">
        <v>114.5</v>
      </c>
      <c r="AC109" s="117">
        <v>111.3</v>
      </c>
      <c r="AD109" s="117">
        <v>91.4</v>
      </c>
      <c r="AE109" s="117">
        <v>89.7</v>
      </c>
      <c r="AF109" s="117">
        <v>87.8</v>
      </c>
      <c r="AG109" s="118">
        <v>120</v>
      </c>
      <c r="AH109" s="47">
        <f t="shared" si="8"/>
        <v>114.5</v>
      </c>
      <c r="AI109" s="48">
        <f t="shared" si="9"/>
        <v>67.2</v>
      </c>
    </row>
    <row r="110" spans="1:35" x14ac:dyDescent="0.25">
      <c r="A110" s="116" t="s">
        <v>118</v>
      </c>
      <c r="B110" s="117">
        <v>81.400000000000006</v>
      </c>
      <c r="C110" s="117">
        <v>75.3</v>
      </c>
      <c r="D110" s="117">
        <v>69.5</v>
      </c>
      <c r="E110" s="117">
        <v>88.3</v>
      </c>
      <c r="F110" s="117">
        <v>64.3</v>
      </c>
      <c r="G110" s="117">
        <v>62.1</v>
      </c>
      <c r="H110" s="117">
        <v>81.2</v>
      </c>
      <c r="I110" s="117">
        <v>85.5</v>
      </c>
      <c r="J110" s="117">
        <v>80.599999999999994</v>
      </c>
      <c r="K110" s="117">
        <v>91.1</v>
      </c>
      <c r="L110" s="117">
        <v>85.6</v>
      </c>
      <c r="M110" s="117">
        <v>88.8</v>
      </c>
      <c r="N110" s="117">
        <v>100.4</v>
      </c>
      <c r="O110" s="117">
        <v>63.4</v>
      </c>
      <c r="P110" s="117">
        <v>84.8</v>
      </c>
      <c r="Q110" s="117">
        <v>79.599999999999994</v>
      </c>
      <c r="R110" s="117">
        <v>79.599999999999994</v>
      </c>
      <c r="S110" s="117">
        <v>82.1</v>
      </c>
      <c r="T110" s="117">
        <v>77</v>
      </c>
      <c r="U110" s="117">
        <v>71</v>
      </c>
      <c r="V110" s="117">
        <v>61.5</v>
      </c>
      <c r="W110" s="117">
        <v>67</v>
      </c>
      <c r="X110" s="117">
        <v>71.2</v>
      </c>
      <c r="Y110" s="117">
        <v>86.5</v>
      </c>
      <c r="Z110" s="117">
        <v>80.7</v>
      </c>
      <c r="AA110" s="117">
        <v>79.3</v>
      </c>
      <c r="AB110" s="117">
        <v>84.5</v>
      </c>
      <c r="AC110" s="117">
        <v>88.5</v>
      </c>
      <c r="AD110" s="117">
        <v>75.599999999999994</v>
      </c>
      <c r="AE110" s="117">
        <v>76.599999999999994</v>
      </c>
      <c r="AF110" s="117">
        <v>80.099999999999994</v>
      </c>
      <c r="AG110" s="118"/>
      <c r="AH110" s="47">
        <f t="shared" si="8"/>
        <v>100.4</v>
      </c>
      <c r="AI110" s="48">
        <f t="shared" si="9"/>
        <v>61.5</v>
      </c>
    </row>
    <row r="111" spans="1:35" x14ac:dyDescent="0.25">
      <c r="A111" s="116" t="s">
        <v>119</v>
      </c>
      <c r="B111" s="117">
        <v>53</v>
      </c>
      <c r="C111" s="117">
        <v>53.1</v>
      </c>
      <c r="D111" s="117">
        <v>53.3</v>
      </c>
      <c r="E111" s="117">
        <v>51.3</v>
      </c>
      <c r="F111" s="117">
        <v>52.2</v>
      </c>
      <c r="G111" s="117">
        <v>48</v>
      </c>
      <c r="H111" s="117">
        <v>53.7</v>
      </c>
      <c r="I111" s="117">
        <v>49.1</v>
      </c>
      <c r="J111" s="117">
        <v>51.9</v>
      </c>
      <c r="K111" s="117">
        <v>40.299999999999997</v>
      </c>
      <c r="L111" s="117">
        <v>26.7</v>
      </c>
      <c r="M111" s="117">
        <v>29.4</v>
      </c>
      <c r="N111" s="117">
        <v>34.6</v>
      </c>
      <c r="O111" s="117">
        <v>27.6</v>
      </c>
      <c r="P111" s="117">
        <v>26.8</v>
      </c>
      <c r="Q111" s="117">
        <v>35.299999999999997</v>
      </c>
      <c r="R111" s="117">
        <v>35.299999999999997</v>
      </c>
      <c r="S111" s="117">
        <v>44.5</v>
      </c>
      <c r="T111" s="117">
        <v>45.6</v>
      </c>
      <c r="U111" s="117">
        <v>53</v>
      </c>
      <c r="V111" s="117">
        <v>-37.5</v>
      </c>
      <c r="W111" s="117">
        <v>43</v>
      </c>
      <c r="X111" s="117">
        <v>44.8</v>
      </c>
      <c r="Y111" s="117">
        <v>29.9</v>
      </c>
      <c r="Z111" s="117">
        <v>32.9</v>
      </c>
      <c r="AA111" s="117">
        <v>25.7</v>
      </c>
      <c r="AB111" s="117">
        <v>38.1</v>
      </c>
      <c r="AC111" s="117">
        <v>37.700000000000003</v>
      </c>
      <c r="AD111" s="117">
        <v>48.5</v>
      </c>
      <c r="AE111" s="117">
        <v>47</v>
      </c>
      <c r="AF111" s="117">
        <v>53.2</v>
      </c>
      <c r="AG111" s="119"/>
      <c r="AH111" s="47">
        <f t="shared" si="8"/>
        <v>53.7</v>
      </c>
      <c r="AI111" s="48">
        <f t="shared" si="9"/>
        <v>-37.5</v>
      </c>
    </row>
    <row r="112" spans="1:35" x14ac:dyDescent="0.25">
      <c r="A112" s="120" t="s">
        <v>120</v>
      </c>
      <c r="B112" s="106">
        <v>5.5</v>
      </c>
      <c r="C112" s="106">
        <v>7.9</v>
      </c>
      <c r="D112" s="106">
        <v>8.6</v>
      </c>
      <c r="E112" s="106">
        <v>8.1</v>
      </c>
      <c r="F112" s="106">
        <v>5.3</v>
      </c>
      <c r="G112" s="106">
        <v>1.3</v>
      </c>
      <c r="H112" s="106">
        <v>0</v>
      </c>
      <c r="I112" s="106">
        <v>-8.8000000000000007</v>
      </c>
      <c r="J112" s="106">
        <v>-23.1</v>
      </c>
      <c r="K112" s="106">
        <v>-39.4</v>
      </c>
      <c r="L112" s="106">
        <v>-46.9</v>
      </c>
      <c r="M112" s="106">
        <v>-46</v>
      </c>
      <c r="N112" s="106">
        <v>-42.2</v>
      </c>
      <c r="O112" s="106">
        <v>-36.4</v>
      </c>
      <c r="P112" s="106">
        <v>-35.799999999999997</v>
      </c>
      <c r="Q112" s="106">
        <v>-20.8</v>
      </c>
      <c r="R112" s="106">
        <v>-20.8</v>
      </c>
      <c r="S112" s="106">
        <v>-29.5</v>
      </c>
      <c r="T112" s="106">
        <v>-42</v>
      </c>
      <c r="U112" s="106">
        <v>-38</v>
      </c>
      <c r="V112" s="106">
        <v>-33</v>
      </c>
      <c r="W112" s="106">
        <v>-49</v>
      </c>
      <c r="X112" s="106">
        <v>-61.7</v>
      </c>
      <c r="Y112" s="106">
        <v>85.3</v>
      </c>
      <c r="Z112" s="106">
        <v>-53</v>
      </c>
      <c r="AA112" s="106">
        <v>-50.6</v>
      </c>
      <c r="AB112" s="106">
        <v>-35.700000000000003</v>
      </c>
      <c r="AC112" s="106">
        <v>-27.5</v>
      </c>
      <c r="AD112" s="106">
        <v>-9</v>
      </c>
      <c r="AE112" s="106">
        <v>0</v>
      </c>
      <c r="AF112" s="106">
        <v>1.4</v>
      </c>
      <c r="AG112" s="119"/>
      <c r="AH112" s="47">
        <f t="shared" si="8"/>
        <v>85.3</v>
      </c>
      <c r="AI112" s="48">
        <f t="shared" si="9"/>
        <v>-61.7</v>
      </c>
    </row>
    <row r="113" spans="1:37" ht="15.75" thickBot="1" x14ac:dyDescent="0.3">
      <c r="A113" s="120" t="s">
        <v>121</v>
      </c>
      <c r="B113" s="106">
        <v>59.2</v>
      </c>
      <c r="C113" s="106">
        <v>56.7</v>
      </c>
      <c r="D113" s="106">
        <v>56.1</v>
      </c>
      <c r="E113" s="106">
        <v>56.5</v>
      </c>
      <c r="F113" s="106">
        <v>50.2</v>
      </c>
      <c r="G113" s="106">
        <v>55.3</v>
      </c>
      <c r="H113" s="106">
        <v>60.4</v>
      </c>
      <c r="I113" s="106">
        <v>61.8</v>
      </c>
      <c r="J113" s="106">
        <v>80.599999999999994</v>
      </c>
      <c r="K113" s="106">
        <v>65.5</v>
      </c>
      <c r="L113" s="106">
        <v>68.099999999999994</v>
      </c>
      <c r="M113" s="106">
        <v>74.099999999999994</v>
      </c>
      <c r="N113" s="106">
        <v>74.8</v>
      </c>
      <c r="O113" s="106">
        <v>70.5</v>
      </c>
      <c r="P113" s="106">
        <v>71</v>
      </c>
      <c r="Q113" s="106">
        <v>77.8</v>
      </c>
      <c r="R113" s="106">
        <v>77.8</v>
      </c>
      <c r="S113" s="106">
        <v>75.8</v>
      </c>
      <c r="T113" s="106">
        <v>80</v>
      </c>
      <c r="U113" s="106">
        <v>76</v>
      </c>
      <c r="V113" s="106">
        <v>71.900000000000006</v>
      </c>
      <c r="W113" s="106">
        <v>67</v>
      </c>
      <c r="X113" s="106">
        <v>78.400000000000006</v>
      </c>
      <c r="Y113" s="106">
        <v>81.2</v>
      </c>
      <c r="Z113" s="106">
        <v>75.3</v>
      </c>
      <c r="AA113" s="106">
        <v>69.5</v>
      </c>
      <c r="AB113" s="106">
        <v>64.8</v>
      </c>
      <c r="AC113" s="106">
        <v>62.1</v>
      </c>
      <c r="AD113" s="106">
        <v>71.900000000000006</v>
      </c>
      <c r="AE113" s="106">
        <v>65.099999999999994</v>
      </c>
      <c r="AF113" s="106">
        <v>64.400000000000006</v>
      </c>
      <c r="AG113" s="119"/>
      <c r="AH113" s="47">
        <f t="shared" si="8"/>
        <v>81.2</v>
      </c>
      <c r="AI113" s="48">
        <f t="shared" si="9"/>
        <v>50.2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1511.34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09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2079/11/9)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1039.04</v>
      </c>
      <c r="U242" s="170">
        <f t="shared" si="20"/>
        <v>991.24</v>
      </c>
      <c r="V242" s="170">
        <f t="shared" si="20"/>
        <v>989.6400000000001</v>
      </c>
      <c r="W242" s="170">
        <f t="shared" si="20"/>
        <v>962.04</v>
      </c>
      <c r="X242" s="170">
        <f t="shared" si="20"/>
        <v>967.1400000000001</v>
      </c>
      <c r="Y242" s="170">
        <f t="shared" si="20"/>
        <v>1033.54</v>
      </c>
      <c r="Z242" s="170">
        <f t="shared" si="20"/>
        <v>1095.54</v>
      </c>
      <c r="AA242" s="170">
        <f t="shared" si="20"/>
        <v>1171.04</v>
      </c>
      <c r="AB242" s="170">
        <f t="shared" si="20"/>
        <v>1258.2399999999998</v>
      </c>
      <c r="AC242" s="170">
        <f t="shared" si="20"/>
        <v>1386.74</v>
      </c>
      <c r="AD242" s="170">
        <f t="shared" si="20"/>
        <v>1415.9399999999998</v>
      </c>
      <c r="AE242" s="170">
        <f t="shared" si="20"/>
        <v>1452.34</v>
      </c>
      <c r="AF242" s="170">
        <f t="shared" si="20"/>
        <v>1511.34</v>
      </c>
      <c r="AG242" s="170">
        <f t="shared" si="20"/>
        <v>1383.74</v>
      </c>
      <c r="AH242" s="170">
        <f t="shared" si="20"/>
        <v>1166.74</v>
      </c>
      <c r="AI242" s="170">
        <f t="shared" si="20"/>
        <v>1172.04</v>
      </c>
      <c r="AJ242" s="170">
        <f t="shared" si="20"/>
        <v>1181.04</v>
      </c>
      <c r="AK242" s="170">
        <f t="shared" si="20"/>
        <v>1202.8399999999999</v>
      </c>
      <c r="AL242" s="170">
        <f t="shared" si="20"/>
        <v>1266.44</v>
      </c>
      <c r="AM242" s="170">
        <f t="shared" si="20"/>
        <v>1302.44</v>
      </c>
      <c r="AN242" s="170">
        <f t="shared" si="20"/>
        <v>1182.44</v>
      </c>
      <c r="AO242" s="170">
        <f t="shared" si="20"/>
        <v>1289.74</v>
      </c>
      <c r="AP242" s="170">
        <f t="shared" si="20"/>
        <v>1388.34</v>
      </c>
      <c r="AQ242" s="170">
        <f t="shared" si="20"/>
        <v>1565.24</v>
      </c>
      <c r="AR242" s="170">
        <f t="shared" si="20"/>
        <v>1513.8400000000001</v>
      </c>
      <c r="AS242" s="170">
        <f t="shared" si="20"/>
        <v>1444.74</v>
      </c>
      <c r="AT242" s="170">
        <f t="shared" si="20"/>
        <v>1380.1399999999999</v>
      </c>
      <c r="AU242" s="170">
        <f t="shared" si="20"/>
        <v>1337.1399999999999</v>
      </c>
      <c r="AV242" s="170">
        <f t="shared" si="20"/>
        <v>1204.04</v>
      </c>
      <c r="AW242" s="170">
        <f t="shared" si="20"/>
        <v>1124.6399999999999</v>
      </c>
      <c r="AX242" s="170">
        <f t="shared" si="20"/>
        <v>1038.8400000000001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8979" priority="234">
      <formula>B$9&gt;=20/24</formula>
    </cfRule>
    <cfRule type="expression" dxfId="8978" priority="235">
      <formula>AND(B$9&gt;=14/24,B$9&lt;20/24)</formula>
    </cfRule>
    <cfRule type="expression" dxfId="8977" priority="236">
      <formula>AND(B$9&gt;=8/24,B$9&lt;14/24)</formula>
    </cfRule>
    <cfRule type="expression" dxfId="8976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8975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8974" priority="231">
      <formula>$AH11=0</formula>
    </cfRule>
  </conditionalFormatting>
  <conditionalFormatting sqref="A110">
    <cfRule type="expression" dxfId="8973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8972" priority="228">
      <formula>$AH41=0</formula>
    </cfRule>
  </conditionalFormatting>
  <conditionalFormatting sqref="A94">
    <cfRule type="expression" dxfId="8971" priority="227">
      <formula>$AH94=0</formula>
    </cfRule>
  </conditionalFormatting>
  <conditionalFormatting sqref="A16">
    <cfRule type="expression" dxfId="8970" priority="226">
      <formula>$AH16=0</formula>
    </cfRule>
  </conditionalFormatting>
  <conditionalFormatting sqref="A192:A197">
    <cfRule type="expression" dxfId="8969" priority="225">
      <formula>$AH192=0</formula>
    </cfRule>
  </conditionalFormatting>
  <conditionalFormatting sqref="A186:A191">
    <cfRule type="expression" dxfId="8968" priority="224">
      <formula>$AH186=0</formula>
    </cfRule>
  </conditionalFormatting>
  <conditionalFormatting sqref="A54">
    <cfRule type="expression" dxfId="8967" priority="223">
      <formula>$AH54=0</formula>
    </cfRule>
  </conditionalFormatting>
  <conditionalFormatting sqref="A90">
    <cfRule type="expression" dxfId="8966" priority="222">
      <formula>$AH90=0</formula>
    </cfRule>
  </conditionalFormatting>
  <conditionalFormatting sqref="AD95:AF95 E95:X95">
    <cfRule type="expression" dxfId="8965" priority="218">
      <formula>E$9&gt;=20/24</formula>
    </cfRule>
    <cfRule type="expression" dxfId="8964" priority="219">
      <formula>AND(E$9&gt;=14/24,E$9&lt;20/24)</formula>
    </cfRule>
    <cfRule type="expression" dxfId="8963" priority="220">
      <formula>AND(E$9&gt;=8/24,E$9&lt;14/24)</formula>
    </cfRule>
    <cfRule type="expression" dxfId="8962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961" priority="240">
      <formula>C$9&gt;=20/24</formula>
    </cfRule>
    <cfRule type="expression" dxfId="8960" priority="241">
      <formula>AND(C$9&gt;=14/24,C$9&lt;20/24)</formula>
    </cfRule>
    <cfRule type="expression" dxfId="8959" priority="242">
      <formula>AND(C$9&gt;=8/24,C$9&lt;14/24)</formula>
    </cfRule>
    <cfRule type="expression" dxfId="8958" priority="243">
      <formula>C$9&lt;8/24</formula>
    </cfRule>
  </conditionalFormatting>
  <conditionalFormatting sqref="A229">
    <cfRule type="expression" dxfId="8957" priority="244">
      <formula>$AH229=0</formula>
    </cfRule>
  </conditionalFormatting>
  <conditionalFormatting sqref="AG241">
    <cfRule type="expression" dxfId="8956" priority="245">
      <formula>B$9&gt;=20/24</formula>
    </cfRule>
    <cfRule type="expression" dxfId="8955" priority="246">
      <formula>AND(B$9&gt;=14/24,B$9&lt;20/24)</formula>
    </cfRule>
    <cfRule type="expression" dxfId="8954" priority="247">
      <formula>AND(B$9&gt;=8/24,B$9&lt;14/24)</formula>
    </cfRule>
    <cfRule type="expression" dxfId="8953" priority="248">
      <formula>B$9&lt;8/24</formula>
    </cfRule>
  </conditionalFormatting>
  <conditionalFormatting sqref="S8">
    <cfRule type="expression" dxfId="8952" priority="213">
      <formula>U$9&gt;=20/24</formula>
    </cfRule>
    <cfRule type="expression" dxfId="8951" priority="214">
      <formula>AND(U$9&gt;=14/24,U$9&lt;20/24)</formula>
    </cfRule>
    <cfRule type="expression" dxfId="8950" priority="215">
      <formula>AND(U$9&gt;=8/24,U$9&lt;14/24)</formula>
    </cfRule>
    <cfRule type="expression" dxfId="8949" priority="216">
      <formula>U$9&lt;8/24</formula>
    </cfRule>
  </conditionalFormatting>
  <conditionalFormatting sqref="AB8">
    <cfRule type="expression" dxfId="8948" priority="209">
      <formula>AD$9&gt;=20/24</formula>
    </cfRule>
    <cfRule type="expression" dxfId="8947" priority="210">
      <formula>AND(AD$9&gt;=14/24,AD$9&lt;20/24)</formula>
    </cfRule>
    <cfRule type="expression" dxfId="8946" priority="211">
      <formula>AND(AD$9&gt;=8/24,AD$9&lt;14/24)</formula>
    </cfRule>
    <cfRule type="expression" dxfId="8945" priority="212">
      <formula>AD$9&lt;8/24</formula>
    </cfRule>
  </conditionalFormatting>
  <conditionalFormatting sqref="AH241:AX241">
    <cfRule type="expression" dxfId="8944" priority="249">
      <formula>AG$9&gt;=20/24</formula>
    </cfRule>
    <cfRule type="expression" dxfId="8943" priority="250">
      <formula>AND(AG$9&gt;=14/24,AG$9&lt;20/24)</formula>
    </cfRule>
    <cfRule type="expression" dxfId="8942" priority="251">
      <formula>AND(AG$9&gt;=8/24,AG$9&lt;14/24)</formula>
    </cfRule>
    <cfRule type="expression" dxfId="8941" priority="252">
      <formula>AG$9&lt;8/24</formula>
    </cfRule>
  </conditionalFormatting>
  <conditionalFormatting sqref="T241">
    <cfRule type="expression" dxfId="8940" priority="253">
      <formula>AX$9&gt;=20/24</formula>
    </cfRule>
    <cfRule type="expression" dxfId="8939" priority="254">
      <formula>AND(AX$9&gt;=14/24,AX$9&lt;20/24)</formula>
    </cfRule>
    <cfRule type="expression" dxfId="8938" priority="255">
      <formula>AND(AX$9&gt;=8/24,AX$9&lt;14/24)</formula>
    </cfRule>
    <cfRule type="expression" dxfId="8937" priority="256">
      <formula>AX$9&lt;8/24</formula>
    </cfRule>
  </conditionalFormatting>
  <conditionalFormatting sqref="A111:A112">
    <cfRule type="expression" dxfId="8936" priority="208">
      <formula>$AH111=0</formula>
    </cfRule>
  </conditionalFormatting>
  <conditionalFormatting sqref="M50:P51 M52:N53 O52:P54 Q50:S54 T52:T54 U54:X54 AB50:AF51 E67:AF67 Y52:AF53">
    <cfRule type="expression" dxfId="8935" priority="204">
      <formula>E$9&gt;=20/24</formula>
    </cfRule>
    <cfRule type="expression" dxfId="8934" priority="205">
      <formula>AND(E$9&gt;=14/24,E$9&lt;20/24)</formula>
    </cfRule>
    <cfRule type="expression" dxfId="8933" priority="206">
      <formula>AND(E$9&gt;=8/24,E$9&lt;14/24)</formula>
    </cfRule>
    <cfRule type="expression" dxfId="8932" priority="207">
      <formula>E$9&lt;8/24</formula>
    </cfRule>
  </conditionalFormatting>
  <conditionalFormatting sqref="AB49:AF49 M49:S49">
    <cfRule type="expression" dxfId="8931" priority="200">
      <formula>M$9&gt;=20/24</formula>
    </cfRule>
    <cfRule type="expression" dxfId="8930" priority="201">
      <formula>AND(M$9&gt;=14/24,M$9&lt;20/24)</formula>
    </cfRule>
    <cfRule type="expression" dxfId="8929" priority="202">
      <formula>AND(M$9&gt;=8/24,M$9&lt;14/24)</formula>
    </cfRule>
    <cfRule type="expression" dxfId="8928" priority="203">
      <formula>M$9&lt;8/24</formula>
    </cfRule>
  </conditionalFormatting>
  <conditionalFormatting sqref="M49:P51 M52:N53 O52:P54 Q49:S54 T52:T54 U54:X54 AB49:AF51 Y52:AF53">
    <cfRule type="expression" dxfId="8927" priority="199">
      <formula>M49&gt;$AG49</formula>
    </cfRule>
  </conditionalFormatting>
  <conditionalFormatting sqref="D82:AF82 X43:AF43 X92:AF92 AD96:AF102 M96:X102 E68:X69 Y68:AF70 Y63:AF65">
    <cfRule type="expression" dxfId="8926" priority="195">
      <formula>D$9&gt;=20/24</formula>
    </cfRule>
    <cfRule type="expression" dxfId="8925" priority="196">
      <formula>AND(D$9&gt;=14/24,D$9&lt;20/24)</formula>
    </cfRule>
    <cfRule type="expression" dxfId="8924" priority="197">
      <formula>AND(D$9&gt;=8/24,D$9&lt;14/24)</formula>
    </cfRule>
    <cfRule type="expression" dxfId="8923" priority="198">
      <formula>D$9&lt;8/24</formula>
    </cfRule>
  </conditionalFormatting>
  <conditionalFormatting sqref="X43:AF43 Y63:AF65">
    <cfRule type="expression" dxfId="8922" priority="194">
      <formula>X43&gt;$AG43</formula>
    </cfRule>
  </conditionalFormatting>
  <conditionalFormatting sqref="T49:U51 U52:U53 V49:W53 X52:X53 X49:AA51">
    <cfRule type="expression" dxfId="8921" priority="190">
      <formula>T$9&gt;=20/24</formula>
    </cfRule>
    <cfRule type="expression" dxfId="8920" priority="191">
      <formula>AND(T$9&gt;=14/24,T$9&lt;20/24)</formula>
    </cfRule>
    <cfRule type="expression" dxfId="8919" priority="192">
      <formula>AND(T$9&gt;=8/24,T$9&lt;14/24)</formula>
    </cfRule>
    <cfRule type="expression" dxfId="8918" priority="193">
      <formula>T$9&lt;8/24</formula>
    </cfRule>
  </conditionalFormatting>
  <conditionalFormatting sqref="T49:U51 U52:U53 V49:W53 X52:X53 X49:AA51">
    <cfRule type="expression" dxfId="8917" priority="189">
      <formula>T49&gt;$AG49</formula>
    </cfRule>
  </conditionalFormatting>
  <conditionalFormatting sqref="C93:AF93 K84:AF84">
    <cfRule type="expression" dxfId="8916" priority="185">
      <formula>C$9&gt;=20/24</formula>
    </cfRule>
    <cfRule type="expression" dxfId="8915" priority="186">
      <formula>AND(C$9&gt;=14/24,C$9&lt;20/24)</formula>
    </cfRule>
    <cfRule type="expression" dxfId="8914" priority="187">
      <formula>AND(C$9&gt;=8/24,C$9&lt;14/24)</formula>
    </cfRule>
    <cfRule type="expression" dxfId="8913" priority="188">
      <formula>C$9&lt;8/24</formula>
    </cfRule>
  </conditionalFormatting>
  <conditionalFormatting sqref="T43:W43">
    <cfRule type="expression" dxfId="8912" priority="181">
      <formula>T$9&gt;=20/24</formula>
    </cfRule>
    <cfRule type="expression" dxfId="8911" priority="182">
      <formula>AND(T$9&gt;=14/24,T$9&lt;20/24)</formula>
    </cfRule>
    <cfRule type="expression" dxfId="8910" priority="183">
      <formula>AND(T$9&gt;=8/24,T$9&lt;14/24)</formula>
    </cfRule>
    <cfRule type="expression" dxfId="8909" priority="184">
      <formula>T$9&lt;8/24</formula>
    </cfRule>
  </conditionalFormatting>
  <conditionalFormatting sqref="T43:W43">
    <cfRule type="expression" dxfId="8908" priority="180">
      <formula>T43&gt;$AG43</formula>
    </cfRule>
  </conditionalFormatting>
  <conditionalFormatting sqref="E50:L51 Y42:AF42">
    <cfRule type="expression" dxfId="8907" priority="176">
      <formula>E$9&gt;=20/24</formula>
    </cfRule>
    <cfRule type="expression" dxfId="8906" priority="177">
      <formula>AND(E$9&gt;=14/24,E$9&lt;20/24)</formula>
    </cfRule>
    <cfRule type="expression" dxfId="8905" priority="178">
      <formula>AND(E$9&gt;=8/24,E$9&lt;14/24)</formula>
    </cfRule>
    <cfRule type="expression" dxfId="8904" priority="179">
      <formula>E$9&lt;8/24</formula>
    </cfRule>
  </conditionalFormatting>
  <conditionalFormatting sqref="E49:L49">
    <cfRule type="expression" dxfId="8903" priority="172">
      <formula>E$9&gt;=20/24</formula>
    </cfRule>
    <cfRule type="expression" dxfId="8902" priority="173">
      <formula>AND(E$9&gt;=14/24,E$9&lt;20/24)</formula>
    </cfRule>
    <cfRule type="expression" dxfId="8901" priority="174">
      <formula>AND(E$9&gt;=8/24,E$9&lt;14/24)</formula>
    </cfRule>
    <cfRule type="expression" dxfId="8900" priority="175">
      <formula>E$9&lt;8/24</formula>
    </cfRule>
  </conditionalFormatting>
  <conditionalFormatting sqref="E49:L51 Y42:AF42">
    <cfRule type="expression" dxfId="8899" priority="171">
      <formula>E42&gt;$AG42</formula>
    </cfRule>
  </conditionalFormatting>
  <conditionalFormatting sqref="AG66 AG83 E96:L102 Q63:X65">
    <cfRule type="expression" dxfId="8898" priority="167">
      <formula>E$9&gt;=20/24</formula>
    </cfRule>
    <cfRule type="expression" dxfId="8897" priority="168">
      <formula>AND(E$9&gt;=14/24,E$9&lt;20/24)</formula>
    </cfRule>
    <cfRule type="expression" dxfId="8896" priority="169">
      <formula>AND(E$9&gt;=8/24,E$9&lt;14/24)</formula>
    </cfRule>
    <cfRule type="expression" dxfId="8895" priority="170">
      <formula>E$9&lt;8/24</formula>
    </cfRule>
  </conditionalFormatting>
  <conditionalFormatting sqref="AG44 AG62 AG66 Q63:X65">
    <cfRule type="expression" dxfId="8894" priority="166">
      <formula>Q44&gt;$AG44</formula>
    </cfRule>
  </conditionalFormatting>
  <conditionalFormatting sqref="Y54:AF54">
    <cfRule type="expression" dxfId="8893" priority="162">
      <formula>Y$9&gt;=20/24</formula>
    </cfRule>
    <cfRule type="expression" dxfId="8892" priority="163">
      <formula>AND(Y$9&gt;=14/24,Y$9&lt;20/24)</formula>
    </cfRule>
    <cfRule type="expression" dxfId="8891" priority="164">
      <formula>AND(Y$9&gt;=8/24,Y$9&lt;14/24)</formula>
    </cfRule>
    <cfRule type="expression" dxfId="8890" priority="165">
      <formula>Y$9&lt;8/24</formula>
    </cfRule>
  </conditionalFormatting>
  <conditionalFormatting sqref="Y54:AF54">
    <cfRule type="expression" dxfId="8889" priority="161">
      <formula>Y54&gt;$AG54</formula>
    </cfRule>
  </conditionalFormatting>
  <conditionalFormatting sqref="A40">
    <cfRule type="expression" dxfId="8888" priority="160">
      <formula>$AH40=0</formula>
    </cfRule>
  </conditionalFormatting>
  <conditionalFormatting sqref="X87:AF91">
    <cfRule type="expression" dxfId="8887" priority="156">
      <formula>X$9&gt;=20/24</formula>
    </cfRule>
    <cfRule type="expression" dxfId="8886" priority="157">
      <formula>AND(X$9&gt;=14/24,X$9&lt;20/24)</formula>
    </cfRule>
    <cfRule type="expression" dxfId="8885" priority="158">
      <formula>AND(X$9&gt;=8/24,X$9&lt;14/24)</formula>
    </cfRule>
    <cfRule type="expression" dxfId="8884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8883" priority="152">
      <formula>E$9&gt;=20/24</formula>
    </cfRule>
    <cfRule type="expression" dxfId="8882" priority="153">
      <formula>AND(E$9&gt;=14/24,E$9&lt;20/24)</formula>
    </cfRule>
    <cfRule type="expression" dxfId="8881" priority="154">
      <formula>AND(E$9&gt;=8/24,E$9&lt;14/24)</formula>
    </cfRule>
    <cfRule type="expression" dxfId="8880" priority="155">
      <formula>E$9&lt;8/24</formula>
    </cfRule>
  </conditionalFormatting>
  <conditionalFormatting sqref="E45:AF47">
    <cfRule type="expression" dxfId="8879" priority="151">
      <formula>E45&gt;$AG45</formula>
    </cfRule>
  </conditionalFormatting>
  <conditionalFormatting sqref="AG48">
    <cfRule type="expression" dxfId="8878" priority="147">
      <formula>AG$9&gt;=20/24</formula>
    </cfRule>
    <cfRule type="expression" dxfId="8877" priority="148">
      <formula>AND(AG$9&gt;=14/24,AG$9&lt;20/24)</formula>
    </cfRule>
    <cfRule type="expression" dxfId="8876" priority="149">
      <formula>AND(AG$9&gt;=8/24,AG$9&lt;14/24)</formula>
    </cfRule>
    <cfRule type="expression" dxfId="8875" priority="150">
      <formula>AG$9&lt;8/24</formula>
    </cfRule>
  </conditionalFormatting>
  <conditionalFormatting sqref="AG48">
    <cfRule type="expression" dxfId="8874" priority="146">
      <formula>AG48&gt;$AG48</formula>
    </cfRule>
  </conditionalFormatting>
  <conditionalFormatting sqref="C103:AF103">
    <cfRule type="expression" dxfId="8873" priority="142">
      <formula>C$9&gt;=20/24</formula>
    </cfRule>
    <cfRule type="expression" dxfId="8872" priority="143">
      <formula>AND(C$9&gt;=14/24,C$9&lt;20/24)</formula>
    </cfRule>
    <cfRule type="expression" dxfId="8871" priority="144">
      <formula>AND(C$9&gt;=8/24,C$9&lt;14/24)</formula>
    </cfRule>
    <cfRule type="expression" dxfId="8870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869" priority="140">
      <formula>$AH37=0</formula>
    </cfRule>
  </conditionalFormatting>
  <conditionalFormatting sqref="A86">
    <cfRule type="expression" dxfId="8868" priority="138">
      <formula>$AH86=0</formula>
    </cfRule>
  </conditionalFormatting>
  <conditionalFormatting sqref="A83">
    <cfRule type="expression" dxfId="8867" priority="139">
      <formula>$AH83=0</formula>
    </cfRule>
  </conditionalFormatting>
  <conditionalFormatting sqref="D106:AF106">
    <cfRule type="expression" dxfId="8866" priority="126">
      <formula>D$9&gt;=20/24</formula>
    </cfRule>
    <cfRule type="expression" dxfId="8865" priority="127">
      <formula>AND(D$9&gt;=14/24,D$9&lt;20/24)</formula>
    </cfRule>
    <cfRule type="expression" dxfId="8864" priority="128">
      <formula>AND(D$9&gt;=8/24,D$9&lt;14/24)</formula>
    </cfRule>
    <cfRule type="expression" dxfId="8863" priority="129">
      <formula>D$9&lt;8/24</formula>
    </cfRule>
  </conditionalFormatting>
  <conditionalFormatting sqref="A106">
    <cfRule type="expression" dxfId="8862" priority="125">
      <formula>$AH106=0</formula>
    </cfRule>
  </conditionalFormatting>
  <conditionalFormatting sqref="A19">
    <cfRule type="expression" dxfId="8861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860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8859" priority="117">
      <formula>Y$9&gt;=20/24</formula>
    </cfRule>
    <cfRule type="expression" dxfId="8858" priority="118">
      <formula>AND(Y$9&gt;=14/24,Y$9&lt;20/24)</formula>
    </cfRule>
    <cfRule type="expression" dxfId="8857" priority="119">
      <formula>AND(Y$9&gt;=8/24,Y$9&lt;14/24)</formula>
    </cfRule>
    <cfRule type="expression" dxfId="8856" priority="120">
      <formula>Y$9&lt;8/24</formula>
    </cfRule>
  </conditionalFormatting>
  <conditionalFormatting sqref="Y96:AC102">
    <cfRule type="expression" dxfId="8855" priority="113">
      <formula>Y$9&gt;=20/24</formula>
    </cfRule>
    <cfRule type="expression" dxfId="8854" priority="114">
      <formula>AND(Y$9&gt;=14/24,Y$9&lt;20/24)</formula>
    </cfRule>
    <cfRule type="expression" dxfId="8853" priority="115">
      <formula>AND(Y$9&gt;=8/24,Y$9&lt;14/24)</formula>
    </cfRule>
    <cfRule type="expression" dxfId="8852" priority="116">
      <formula>Y$9&lt;8/24</formula>
    </cfRule>
  </conditionalFormatting>
  <conditionalFormatting sqref="B105:C105 B107:C112 B15:X40">
    <cfRule type="expression" dxfId="8851" priority="109">
      <formula>B$9&gt;=20/24</formula>
    </cfRule>
    <cfRule type="expression" dxfId="8850" priority="110">
      <formula>AND(B$9&gt;=14/24,B$9&lt;20/24)</formula>
    </cfRule>
    <cfRule type="expression" dxfId="8849" priority="111">
      <formula>AND(B$9&gt;=8/24,B$9&lt;14/24)</formula>
    </cfRule>
    <cfRule type="expression" dxfId="8848" priority="112">
      <formula>B$9&lt;8/24</formula>
    </cfRule>
  </conditionalFormatting>
  <conditionalFormatting sqref="B43:S43">
    <cfRule type="expression" dxfId="8847" priority="105">
      <formula>B$9&gt;=20/24</formula>
    </cfRule>
    <cfRule type="expression" dxfId="8846" priority="106">
      <formula>AND(B$9&gt;=14/24,B$9&lt;20/24)</formula>
    </cfRule>
    <cfRule type="expression" dxfId="8845" priority="107">
      <formula>AND(B$9&gt;=8/24,B$9&lt;14/24)</formula>
    </cfRule>
    <cfRule type="expression" dxfId="8844" priority="108">
      <formula>B$9&lt;8/24</formula>
    </cfRule>
  </conditionalFormatting>
  <conditionalFormatting sqref="B43:S43 B15:X40">
    <cfRule type="expression" dxfId="8843" priority="104">
      <formula>B15&gt;$AG15</formula>
    </cfRule>
  </conditionalFormatting>
  <conditionalFormatting sqref="B95:D95">
    <cfRule type="expression" dxfId="8842" priority="100">
      <formula>B$9&gt;=20/24</formula>
    </cfRule>
    <cfRule type="expression" dxfId="8841" priority="101">
      <formula>AND(B$9&gt;=14/24,B$9&lt;20/24)</formula>
    </cfRule>
    <cfRule type="expression" dxfId="8840" priority="102">
      <formula>AND(B$9&gt;=8/24,B$9&lt;14/24)</formula>
    </cfRule>
    <cfRule type="expression" dxfId="8839" priority="103">
      <formula>B$9&lt;8/24</formula>
    </cfRule>
  </conditionalFormatting>
  <conditionalFormatting sqref="B50:D51 B67:D67">
    <cfRule type="expression" dxfId="8838" priority="96">
      <formula>B$9&gt;=20/24</formula>
    </cfRule>
    <cfRule type="expression" dxfId="8837" priority="97">
      <formula>AND(B$9&gt;=14/24,B$9&lt;20/24)</formula>
    </cfRule>
    <cfRule type="expression" dxfId="8836" priority="98">
      <formula>AND(B$9&gt;=8/24,B$9&lt;14/24)</formula>
    </cfRule>
    <cfRule type="expression" dxfId="8835" priority="99">
      <formula>B$9&lt;8/24</formula>
    </cfRule>
  </conditionalFormatting>
  <conditionalFormatting sqref="B49:D49">
    <cfRule type="expression" dxfId="8834" priority="92">
      <formula>B$9&gt;=20/24</formula>
    </cfRule>
    <cfRule type="expression" dxfId="8833" priority="93">
      <formula>AND(B$9&gt;=14/24,B$9&lt;20/24)</formula>
    </cfRule>
    <cfRule type="expression" dxfId="8832" priority="94">
      <formula>AND(B$9&gt;=8/24,B$9&lt;14/24)</formula>
    </cfRule>
    <cfRule type="expression" dxfId="8831" priority="95">
      <formula>B$9&lt;8/24</formula>
    </cfRule>
  </conditionalFormatting>
  <conditionalFormatting sqref="B49:D51">
    <cfRule type="expression" dxfId="8830" priority="91">
      <formula>B49&gt;$AG49</formula>
    </cfRule>
  </conditionalFormatting>
  <conditionalFormatting sqref="B82:C82 B96:D102 B92:W92 B79:AF81 B68:D72 B63:P65 E70:X72 Y71:AF72">
    <cfRule type="expression" dxfId="8829" priority="87">
      <formula>B$9&gt;=20/24</formula>
    </cfRule>
    <cfRule type="expression" dxfId="8828" priority="88">
      <formula>AND(B$9&gt;=14/24,B$9&lt;20/24)</formula>
    </cfRule>
    <cfRule type="expression" dxfId="8827" priority="89">
      <formula>AND(B$9&gt;=8/24,B$9&lt;14/24)</formula>
    </cfRule>
    <cfRule type="expression" dxfId="8826" priority="90">
      <formula>B$9&lt;8/24</formula>
    </cfRule>
  </conditionalFormatting>
  <conditionalFormatting sqref="B52:L53 B63:P65">
    <cfRule type="expression" dxfId="8825" priority="86">
      <formula>B52&gt;$AG52</formula>
    </cfRule>
  </conditionalFormatting>
  <conditionalFormatting sqref="B54:N54">
    <cfRule type="expression" dxfId="8824" priority="82">
      <formula>B$9&gt;=20/24</formula>
    </cfRule>
    <cfRule type="expression" dxfId="8823" priority="83">
      <formula>AND(B$9&gt;=14/24,B$9&lt;20/24)</formula>
    </cfRule>
    <cfRule type="expression" dxfId="8822" priority="84">
      <formula>AND(B$9&gt;=8/24,B$9&lt;14/24)</formula>
    </cfRule>
    <cfRule type="expression" dxfId="8821" priority="85">
      <formula>B$9&lt;8/24</formula>
    </cfRule>
  </conditionalFormatting>
  <conditionalFormatting sqref="B54:N54">
    <cfRule type="expression" dxfId="8820" priority="81">
      <formula>B54&gt;$AG54</formula>
    </cfRule>
  </conditionalFormatting>
  <conditionalFormatting sqref="B93 B84:J84">
    <cfRule type="expression" dxfId="8819" priority="77">
      <formula>B$9&gt;=20/24</formula>
    </cfRule>
    <cfRule type="expression" dxfId="8818" priority="78">
      <formula>AND(B$9&gt;=14/24,B$9&lt;20/24)</formula>
    </cfRule>
    <cfRule type="expression" dxfId="8817" priority="79">
      <formula>AND(B$9&gt;=8/24,B$9&lt;14/24)</formula>
    </cfRule>
    <cfRule type="expression" dxfId="8816" priority="80">
      <formula>B$9&lt;8/24</formula>
    </cfRule>
  </conditionalFormatting>
  <conditionalFormatting sqref="B42:X42">
    <cfRule type="expression" dxfId="8815" priority="73">
      <formula>B$9&gt;=20/24</formula>
    </cfRule>
    <cfRule type="expression" dxfId="8814" priority="74">
      <formula>AND(B$9&gt;=14/24,B$9&lt;20/24)</formula>
    </cfRule>
    <cfRule type="expression" dxfId="8813" priority="75">
      <formula>AND(B$9&gt;=8/24,B$9&lt;14/24)</formula>
    </cfRule>
    <cfRule type="expression" dxfId="8812" priority="76">
      <formula>B$9&lt;8/24</formula>
    </cfRule>
  </conditionalFormatting>
  <conditionalFormatting sqref="B42:X42">
    <cfRule type="expression" dxfId="8811" priority="72">
      <formula>B42&gt;$AG42</formula>
    </cfRule>
  </conditionalFormatting>
  <conditionalFormatting sqref="B66:AF66 B83:AF83 B85:AF85 B94:AF94">
    <cfRule type="expression" dxfId="8810" priority="68">
      <formula>B$9&gt;=20/24</formula>
    </cfRule>
    <cfRule type="expression" dxfId="8809" priority="69">
      <formula>AND(B$9&gt;=14/24,B$9&lt;20/24)</formula>
    </cfRule>
    <cfRule type="expression" dxfId="8808" priority="70">
      <formula>AND(B$9&gt;=8/24,B$9&lt;14/24)</formula>
    </cfRule>
    <cfRule type="expression" dxfId="8807" priority="71">
      <formula>B$9&lt;8/24</formula>
    </cfRule>
  </conditionalFormatting>
  <conditionalFormatting sqref="B44:AF44 B61:AF62 B66:AF66">
    <cfRule type="expression" dxfId="8806" priority="67">
      <formula>B44&gt;$AG44</formula>
    </cfRule>
  </conditionalFormatting>
  <conditionalFormatting sqref="B78:AF78">
    <cfRule type="expression" dxfId="8805" priority="63">
      <formula>B$9&gt;=20/24</formula>
    </cfRule>
    <cfRule type="expression" dxfId="8804" priority="64">
      <formula>AND(B$9&gt;=14/24,B$9&lt;20/24)</formula>
    </cfRule>
    <cfRule type="expression" dxfId="8803" priority="65">
      <formula>AND(B$9&gt;=8/24,B$9&lt;14/24)</formula>
    </cfRule>
    <cfRule type="expression" dxfId="8802" priority="66">
      <formula>B$9&lt;8/24</formula>
    </cfRule>
  </conditionalFormatting>
  <conditionalFormatting sqref="B87:W91">
    <cfRule type="expression" dxfId="8801" priority="59">
      <formula>B$9&gt;=20/24</formula>
    </cfRule>
    <cfRule type="expression" dxfId="8800" priority="60">
      <formula>AND(B$9&gt;=14/24,B$9&lt;20/24)</formula>
    </cfRule>
    <cfRule type="expression" dxfId="8799" priority="61">
      <formula>AND(B$9&gt;=8/24,B$9&lt;14/24)</formula>
    </cfRule>
    <cfRule type="expression" dxfId="8798" priority="62">
      <formula>B$9&lt;8/24</formula>
    </cfRule>
  </conditionalFormatting>
  <conditionalFormatting sqref="B45:D47">
    <cfRule type="expression" dxfId="8797" priority="55">
      <formula>B$9&gt;=20/24</formula>
    </cfRule>
    <cfRule type="expression" dxfId="8796" priority="56">
      <formula>AND(B$9&gt;=14/24,B$9&lt;20/24)</formula>
    </cfRule>
    <cfRule type="expression" dxfId="8795" priority="57">
      <formula>AND(B$9&gt;=8/24,B$9&lt;14/24)</formula>
    </cfRule>
    <cfRule type="expression" dxfId="8794" priority="58">
      <formula>B$9&lt;8/24</formula>
    </cfRule>
  </conditionalFormatting>
  <conditionalFormatting sqref="B45:D47">
    <cfRule type="expression" dxfId="8793" priority="54">
      <formula>B45&gt;$AG45</formula>
    </cfRule>
  </conditionalFormatting>
  <conditionalFormatting sqref="B48:AF48">
    <cfRule type="expression" dxfId="8792" priority="50">
      <formula>B$9&gt;=20/24</formula>
    </cfRule>
    <cfRule type="expression" dxfId="8791" priority="51">
      <formula>AND(B$9&gt;=14/24,B$9&lt;20/24)</formula>
    </cfRule>
    <cfRule type="expression" dxfId="8790" priority="52">
      <formula>AND(B$9&gt;=8/24,B$9&lt;14/24)</formula>
    </cfRule>
    <cfRule type="expression" dxfId="8789" priority="53">
      <formula>B$9&lt;8/24</formula>
    </cfRule>
  </conditionalFormatting>
  <conditionalFormatting sqref="B48:AF48">
    <cfRule type="expression" dxfId="8788" priority="49">
      <formula>B48&gt;$AG48</formula>
    </cfRule>
  </conditionalFormatting>
  <conditionalFormatting sqref="B103">
    <cfRule type="expression" dxfId="8787" priority="45">
      <formula>B$9&gt;=20/24</formula>
    </cfRule>
    <cfRule type="expression" dxfId="8786" priority="46">
      <formula>AND(B$9&gt;=14/24,B$9&lt;20/24)</formula>
    </cfRule>
    <cfRule type="expression" dxfId="8785" priority="47">
      <formula>AND(B$9&gt;=8/24,B$9&lt;14/24)</formula>
    </cfRule>
    <cfRule type="expression" dxfId="8784" priority="48">
      <formula>B$9&lt;8/24</formula>
    </cfRule>
  </conditionalFormatting>
  <conditionalFormatting sqref="B106:C106">
    <cfRule type="expression" dxfId="8783" priority="33">
      <formula>B$9&gt;=20/24</formula>
    </cfRule>
    <cfRule type="expression" dxfId="8782" priority="34">
      <formula>AND(B$9&gt;=14/24,B$9&lt;20/24)</formula>
    </cfRule>
    <cfRule type="expression" dxfId="8781" priority="35">
      <formula>AND(B$9&gt;=8/24,B$9&lt;14/24)</formula>
    </cfRule>
    <cfRule type="expression" dxfId="8780" priority="36">
      <formula>B$9&lt;8/24</formula>
    </cfRule>
  </conditionalFormatting>
  <conditionalFormatting sqref="B55:AF60">
    <cfRule type="expression" dxfId="8779" priority="29">
      <formula>B$9&gt;=20/24</formula>
    </cfRule>
    <cfRule type="expression" dxfId="8778" priority="30">
      <formula>AND(B$9&gt;=14/24,B$9&lt;20/24)</formula>
    </cfRule>
    <cfRule type="expression" dxfId="8777" priority="31">
      <formula>AND(B$9&gt;=8/24,B$9&lt;14/24)</formula>
    </cfRule>
    <cfRule type="expression" dxfId="8776" priority="32">
      <formula>B$9&lt;8/24</formula>
    </cfRule>
  </conditionalFormatting>
  <conditionalFormatting sqref="B55:AF60">
    <cfRule type="expression" dxfId="8775" priority="28">
      <formula>B55&gt;$AG55</formula>
    </cfRule>
  </conditionalFormatting>
  <conditionalFormatting sqref="B41:X41 B12:X14">
    <cfRule type="expression" dxfId="8774" priority="27">
      <formula>B12&gt;$AG12</formula>
    </cfRule>
  </conditionalFormatting>
  <conditionalFormatting sqref="B11:X11">
    <cfRule type="expression" dxfId="8773" priority="23">
      <formula>B$9&gt;=20/24</formula>
    </cfRule>
    <cfRule type="expression" dxfId="8772" priority="24">
      <formula>AND(B$9&gt;=14/24,B$9&lt;20/24)</formula>
    </cfRule>
    <cfRule type="expression" dxfId="8771" priority="25">
      <formula>AND(B$9&gt;=8/24,B$9&lt;14/24)</formula>
    </cfRule>
    <cfRule type="expression" dxfId="8770" priority="26">
      <formula>B$9&lt;8/24</formula>
    </cfRule>
  </conditionalFormatting>
  <conditionalFormatting sqref="B11:X11">
    <cfRule type="expression" dxfId="8769" priority="22">
      <formula>B11&gt;$AG11</formula>
    </cfRule>
  </conditionalFormatting>
  <conditionalFormatting sqref="B12:X14">
    <cfRule type="expression" dxfId="8768" priority="18">
      <formula>B$9&gt;=20/24</formula>
    </cfRule>
    <cfRule type="expression" dxfId="8767" priority="19">
      <formula>AND(B$9&gt;=14/24,B$9&lt;20/24)</formula>
    </cfRule>
    <cfRule type="expression" dxfId="8766" priority="20">
      <formula>AND(B$9&gt;=8/24,B$9&lt;14/24)</formula>
    </cfRule>
    <cfRule type="expression" dxfId="8765" priority="21">
      <formula>B$9&lt;8/24</formula>
    </cfRule>
  </conditionalFormatting>
  <conditionalFormatting sqref="B41:X41">
    <cfRule type="expression" dxfId="8764" priority="14">
      <formula>B$9&gt;=20/24</formula>
    </cfRule>
    <cfRule type="expression" dxfId="8763" priority="15">
      <formula>AND(B$9&gt;=14/24,B$9&lt;20/24)</formula>
    </cfRule>
    <cfRule type="expression" dxfId="8762" priority="16">
      <formula>AND(B$9&gt;=8/24,B$9&lt;14/24)</formula>
    </cfRule>
    <cfRule type="expression" dxfId="8761" priority="17">
      <formula>B$9&lt;8/24</formula>
    </cfRule>
  </conditionalFormatting>
  <conditionalFormatting sqref="B73:AF77">
    <cfRule type="expression" dxfId="8760" priority="10">
      <formula>B$9&gt;=20/24</formula>
    </cfRule>
    <cfRule type="expression" dxfId="8759" priority="11">
      <formula>AND(B$9&gt;=14/24,B$9&lt;20/24)</formula>
    </cfRule>
    <cfRule type="expression" dxfId="8758" priority="12">
      <formula>AND(B$9&gt;=8/24,B$9&lt;14/24)</formula>
    </cfRule>
    <cfRule type="expression" dxfId="8757" priority="13">
      <formula>B$9&lt;8/24</formula>
    </cfRule>
  </conditionalFormatting>
  <conditionalFormatting sqref="AL74:AN74 AL80:AN80 AN75:AN76">
    <cfRule type="expression" dxfId="8756" priority="6">
      <formula>AL$9&gt;=20/24</formula>
    </cfRule>
    <cfRule type="expression" dxfId="8755" priority="7">
      <formula>AND(AL$9&gt;=14/24,AL$9&lt;20/24)</formula>
    </cfRule>
    <cfRule type="expression" dxfId="8754" priority="8">
      <formula>AND(AL$9&gt;=8/24,AL$9&lt;14/24)</formula>
    </cfRule>
    <cfRule type="expression" dxfId="8753" priority="9">
      <formula>AL$9&lt;8/24</formula>
    </cfRule>
  </conditionalFormatting>
  <conditionalFormatting sqref="AN77:AN78">
    <cfRule type="expression" dxfId="8752" priority="2">
      <formula>AN$9&gt;=20/24</formula>
    </cfRule>
    <cfRule type="expression" dxfId="8751" priority="3">
      <formula>AND(AN$9&gt;=14/24,AN$9&lt;20/24)</formula>
    </cfRule>
    <cfRule type="expression" dxfId="8750" priority="4">
      <formula>AND(AN$9&gt;=8/24,AN$9&lt;14/24)</formula>
    </cfRule>
    <cfRule type="expression" dxfId="8749" priority="5">
      <formula>AN$9&lt;8/24</formula>
    </cfRule>
  </conditionalFormatting>
  <conditionalFormatting sqref="AL75:AM79">
    <cfRule type="expression" dxfId="8748" priority="258">
      <formula>AJ$9&gt;=20/24</formula>
    </cfRule>
    <cfRule type="expression" dxfId="8747" priority="259">
      <formula>AND(AJ$9&gt;=14/24,AJ$9&lt;20/24)</formula>
    </cfRule>
    <cfRule type="expression" dxfId="8746" priority="260">
      <formula>AND(AJ$9&gt;=8/24,AJ$9&lt;14/24)</formula>
    </cfRule>
    <cfRule type="expression" dxfId="8745" priority="261">
      <formula>AJ$9&lt;8/24</formula>
    </cfRule>
  </conditionalFormatting>
  <conditionalFormatting sqref="A113">
    <cfRule type="expression" dxfId="8744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83B4477E-B531-46FD-9700-3FC2D42D942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6863AB53-A5CA-4234-A75C-E9C3E4D7B89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125D72EA-6F11-4DD1-9140-18D54C4F447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AC246CF8-AB46-4F02-8513-9B08E33E21C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53E896E0-0668-47C9-AC09-4E3D27643D2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B52A13EA-D175-4B45-B909-7D7C0EABDE4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7970AD1A-23D8-4649-8C38-127B20F9E2B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4644AB2F-245F-41BE-8409-58158D76F63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1" id="{5732D6F8-476F-4045-B416-A2CC84FB204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E1AC8726-150C-4249-9B0B-A0F6F1250F0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3BFE482A-9C5E-4DE2-931B-D0C0FB12722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6EF1A2F7-9BC0-472A-9135-0FADC7D567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16B1F91F-039B-4607-99CE-0E5D83AE417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D47A486D-7719-4A17-8F9B-10A9FFAF0C2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681CECA0-A52E-40CF-A8B6-4E513768908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0750DAAE-89B8-43EE-A8FA-E6CD81B6E03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4"/>
  <sheetViews>
    <sheetView zoomScale="80" zoomScaleNormal="80" workbookViewId="0">
      <pane ySplit="10" topLeftCell="A44" activePane="bottomLeft" state="frozen"/>
      <selection activeCell="Z85" sqref="Z85"/>
      <selection pane="bottomLeft" activeCell="S72" sqref="S7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2079/11/10</v>
      </c>
      <c r="C4" s="208"/>
      <c r="D4" s="208"/>
      <c r="E4" s="209" t="str">
        <f ca="1">"2079/"&amp;"11/"&amp;INT(MID(CELL("filename",G6),FIND("]",CELL("filename",G6))+1,200))</f>
        <v>2079/11/10</v>
      </c>
      <c r="F4" s="209"/>
      <c r="G4" s="209"/>
      <c r="H4" s="209" t="str">
        <f ca="1">TEXT(E4,"dddd")</f>
        <v>Friday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438.9</v>
      </c>
      <c r="C5" s="30">
        <f t="shared" si="0"/>
        <v>423</v>
      </c>
      <c r="D5" s="30">
        <f t="shared" si="0"/>
        <v>439</v>
      </c>
      <c r="E5" s="30">
        <f t="shared" si="0"/>
        <v>406.2</v>
      </c>
      <c r="F5" s="30">
        <f t="shared" si="0"/>
        <v>384.2</v>
      </c>
      <c r="G5" s="30">
        <f t="shared" si="0"/>
        <v>451.6</v>
      </c>
      <c r="H5" s="30">
        <f t="shared" si="0"/>
        <v>432.1</v>
      </c>
      <c r="I5" s="30">
        <f t="shared" si="0"/>
        <v>190</v>
      </c>
      <c r="J5" s="30">
        <f t="shared" si="0"/>
        <v>156.1</v>
      </c>
      <c r="K5" s="30">
        <f t="shared" si="0"/>
        <v>141</v>
      </c>
      <c r="L5" s="30">
        <f t="shared" si="0"/>
        <v>154.5</v>
      </c>
      <c r="M5" s="30">
        <f t="shared" si="0"/>
        <v>291.10000000000002</v>
      </c>
      <c r="N5" s="30">
        <f t="shared" si="0"/>
        <v>508.8</v>
      </c>
      <c r="O5" s="30">
        <f t="shared" si="0"/>
        <v>493.8</v>
      </c>
      <c r="P5" s="30">
        <f t="shared" si="0"/>
        <v>470.1</v>
      </c>
      <c r="Q5" s="30">
        <f t="shared" si="0"/>
        <v>478</v>
      </c>
      <c r="R5" s="30">
        <f t="shared" si="0"/>
        <v>492.1</v>
      </c>
      <c r="S5" s="30">
        <f t="shared" si="0"/>
        <v>482</v>
      </c>
      <c r="T5" s="30">
        <f t="shared" si="0"/>
        <v>486</v>
      </c>
      <c r="U5" s="30">
        <f t="shared" si="0"/>
        <v>392</v>
      </c>
      <c r="V5" s="30">
        <f t="shared" si="0"/>
        <v>472</v>
      </c>
      <c r="W5" s="30">
        <f t="shared" si="0"/>
        <v>472</v>
      </c>
      <c r="X5" s="30">
        <f t="shared" si="0"/>
        <v>460.8</v>
      </c>
      <c r="Y5" s="30">
        <f t="shared" si="0"/>
        <v>338.2</v>
      </c>
      <c r="Z5" s="30">
        <f t="shared" si="0"/>
        <v>398.2</v>
      </c>
      <c r="AA5" s="30">
        <f t="shared" si="0"/>
        <v>486</v>
      </c>
      <c r="AB5" s="30">
        <f t="shared" si="0"/>
        <v>494.5</v>
      </c>
      <c r="AC5" s="30">
        <f t="shared" si="0"/>
        <v>445</v>
      </c>
      <c r="AD5" s="30">
        <f t="shared" si="0"/>
        <v>452</v>
      </c>
      <c r="AE5" s="30">
        <f t="shared" si="0"/>
        <v>459</v>
      </c>
      <c r="AF5" s="30">
        <f>B78</f>
        <v>453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1413MW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Load=992</v>
      </c>
      <c r="B7" s="35">
        <f t="shared" ref="B7:AF7" si="1">B85</f>
        <v>1037.94</v>
      </c>
      <c r="C7" s="35">
        <f t="shared" si="1"/>
        <v>1023.4399999999999</v>
      </c>
      <c r="D7" s="35">
        <f t="shared" si="1"/>
        <v>1007.84</v>
      </c>
      <c r="E7" s="35">
        <f t="shared" si="1"/>
        <v>994.34</v>
      </c>
      <c r="F7" s="35">
        <f t="shared" si="1"/>
        <v>1014.54</v>
      </c>
      <c r="G7" s="35">
        <f t="shared" si="1"/>
        <v>1057.3399999999999</v>
      </c>
      <c r="H7" s="35">
        <f t="shared" si="1"/>
        <v>1159.94</v>
      </c>
      <c r="I7" s="35">
        <f t="shared" si="1"/>
        <v>1180.94</v>
      </c>
      <c r="J7" s="35">
        <f t="shared" si="1"/>
        <v>1257.94</v>
      </c>
      <c r="K7" s="35">
        <f t="shared" si="1"/>
        <v>1337.1399999999999</v>
      </c>
      <c r="L7" s="35">
        <f t="shared" si="1"/>
        <v>1413.2400000000002</v>
      </c>
      <c r="M7" s="35">
        <f t="shared" si="1"/>
        <v>1403.44</v>
      </c>
      <c r="N7" s="35">
        <f>N85</f>
        <v>1339.8400000000001</v>
      </c>
      <c r="O7" s="35">
        <f t="shared" si="1"/>
        <v>1331.54</v>
      </c>
      <c r="P7" s="35">
        <f t="shared" si="1"/>
        <v>1279.24</v>
      </c>
      <c r="Q7" s="35">
        <f t="shared" si="1"/>
        <v>1189.8400000000001</v>
      </c>
      <c r="R7" s="35">
        <f t="shared" si="1"/>
        <v>1191.6399999999999</v>
      </c>
      <c r="S7" s="35">
        <f t="shared" si="1"/>
        <v>1269.6399999999999</v>
      </c>
      <c r="T7" s="35">
        <f t="shared" si="1"/>
        <v>1312.8400000000001</v>
      </c>
      <c r="U7" s="35">
        <f t="shared" si="1"/>
        <v>1336.8400000000001</v>
      </c>
      <c r="V7" s="35">
        <f t="shared" si="1"/>
        <v>1208.94</v>
      </c>
      <c r="W7" s="35">
        <f t="shared" si="1"/>
        <v>1306.24</v>
      </c>
      <c r="X7" s="35">
        <f t="shared" si="1"/>
        <v>1378.8400000000001</v>
      </c>
      <c r="Y7" s="35">
        <f t="shared" si="1"/>
        <v>1494.1399999999999</v>
      </c>
      <c r="Z7" s="35">
        <f t="shared" si="1"/>
        <v>1473.14</v>
      </c>
      <c r="AA7" s="35">
        <f t="shared" si="1"/>
        <v>1417.74</v>
      </c>
      <c r="AB7" s="35">
        <f t="shared" si="1"/>
        <v>1333.04</v>
      </c>
      <c r="AC7" s="35">
        <f t="shared" si="1"/>
        <v>1309.6400000000001</v>
      </c>
      <c r="AD7" s="35">
        <f t="shared" si="1"/>
        <v>1103.3399999999999</v>
      </c>
      <c r="AE7" s="35">
        <f t="shared" si="1"/>
        <v>1063.3399999999999</v>
      </c>
      <c r="AF7" s="35">
        <f t="shared" si="1"/>
        <v>992.34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14.5</v>
      </c>
      <c r="C11" s="45">
        <v>14.5</v>
      </c>
      <c r="D11" s="45">
        <v>14.5</v>
      </c>
      <c r="E11" s="45">
        <v>14.5</v>
      </c>
      <c r="F11" s="45">
        <v>14.5</v>
      </c>
      <c r="G11" s="45">
        <v>14.5</v>
      </c>
      <c r="H11" s="45">
        <v>14.5</v>
      </c>
      <c r="I11" s="45">
        <v>14.5</v>
      </c>
      <c r="J11" s="45">
        <v>14.5</v>
      </c>
      <c r="K11" s="45">
        <v>14.5</v>
      </c>
      <c r="L11" s="45">
        <v>14.5</v>
      </c>
      <c r="M11" s="45">
        <v>16</v>
      </c>
      <c r="N11" s="45">
        <v>16</v>
      </c>
      <c r="O11" s="45">
        <v>16</v>
      </c>
      <c r="P11" s="45">
        <v>16.7</v>
      </c>
      <c r="Q11" s="45">
        <v>16.7</v>
      </c>
      <c r="R11" s="45">
        <v>16.5</v>
      </c>
      <c r="S11" s="45">
        <v>15.2</v>
      </c>
      <c r="T11" s="45">
        <v>13.2</v>
      </c>
      <c r="U11" s="45">
        <v>13.2</v>
      </c>
      <c r="V11" s="45">
        <v>13.2</v>
      </c>
      <c r="W11" s="45">
        <v>13.2</v>
      </c>
      <c r="X11" s="45">
        <v>14.8</v>
      </c>
      <c r="Y11" s="45">
        <v>14.8</v>
      </c>
      <c r="Z11" s="45">
        <v>14.7</v>
      </c>
      <c r="AA11" s="45">
        <v>14.7</v>
      </c>
      <c r="AB11" s="45">
        <v>14.7</v>
      </c>
      <c r="AC11" s="45">
        <v>14.7</v>
      </c>
      <c r="AD11" s="45">
        <v>14.7</v>
      </c>
      <c r="AE11" s="45">
        <v>14.7</v>
      </c>
      <c r="AF11" s="45">
        <v>14.7</v>
      </c>
      <c r="AG11" s="46">
        <v>52.4</v>
      </c>
      <c r="AH11" s="47">
        <f t="shared" ref="AH11:AH74" si="2">MAX(B11:AF11)</f>
        <v>16.7</v>
      </c>
      <c r="AI11" s="48">
        <f t="shared" ref="AI11:AI74" si="3">MIN(B11:AF11)</f>
        <v>13.2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33</v>
      </c>
      <c r="C12" s="45">
        <v>33</v>
      </c>
      <c r="D12" s="45">
        <v>33</v>
      </c>
      <c r="E12" s="45">
        <v>33</v>
      </c>
      <c r="F12" s="45">
        <v>33</v>
      </c>
      <c r="G12" s="45">
        <v>33</v>
      </c>
      <c r="H12" s="45">
        <v>33</v>
      </c>
      <c r="I12" s="45">
        <v>33</v>
      </c>
      <c r="J12" s="45">
        <v>33</v>
      </c>
      <c r="K12" s="45">
        <v>33</v>
      </c>
      <c r="L12" s="45">
        <v>33</v>
      </c>
      <c r="M12" s="45">
        <v>32</v>
      </c>
      <c r="N12" s="45">
        <v>32</v>
      </c>
      <c r="O12" s="45">
        <v>32</v>
      </c>
      <c r="P12" s="45">
        <v>31.3</v>
      </c>
      <c r="Q12" s="45">
        <v>31.3</v>
      </c>
      <c r="R12" s="45">
        <v>33.799999999999997</v>
      </c>
      <c r="S12" s="45">
        <v>33.799999999999997</v>
      </c>
      <c r="T12" s="45">
        <v>33.799999999999997</v>
      </c>
      <c r="U12" s="45">
        <v>33.799999999999997</v>
      </c>
      <c r="V12" s="45">
        <v>33.799999999999997</v>
      </c>
      <c r="W12" s="45">
        <v>33.799999999999997</v>
      </c>
      <c r="X12" s="45">
        <v>31.6</v>
      </c>
      <c r="Y12" s="45">
        <v>31.7</v>
      </c>
      <c r="Z12" s="45">
        <v>31.6</v>
      </c>
      <c r="AA12" s="45">
        <v>31.6</v>
      </c>
      <c r="AB12" s="45">
        <v>31.6</v>
      </c>
      <c r="AC12" s="45">
        <v>31.6</v>
      </c>
      <c r="AD12" s="45">
        <v>31.6</v>
      </c>
      <c r="AE12" s="45">
        <v>31.6</v>
      </c>
      <c r="AF12" s="45">
        <v>31.6</v>
      </c>
      <c r="AG12" s="50">
        <v>50</v>
      </c>
      <c r="AH12" s="47">
        <f t="shared" si="2"/>
        <v>33.799999999999997</v>
      </c>
      <c r="AI12" s="48">
        <f t="shared" si="3"/>
        <v>31.3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15.4</v>
      </c>
      <c r="C13" s="45">
        <v>15.4</v>
      </c>
      <c r="D13" s="45">
        <v>15.4</v>
      </c>
      <c r="E13" s="45">
        <v>15.4</v>
      </c>
      <c r="F13" s="45">
        <v>15.4</v>
      </c>
      <c r="G13" s="45">
        <v>15.4</v>
      </c>
      <c r="H13" s="45">
        <v>15.4</v>
      </c>
      <c r="I13" s="45">
        <v>15.4</v>
      </c>
      <c r="J13" s="45">
        <v>15.4</v>
      </c>
      <c r="K13" s="45">
        <v>15.4</v>
      </c>
      <c r="L13" s="45">
        <v>15.4</v>
      </c>
      <c r="M13" s="45">
        <v>16</v>
      </c>
      <c r="N13" s="45">
        <v>16</v>
      </c>
      <c r="O13" s="45">
        <v>16</v>
      </c>
      <c r="P13" s="45">
        <v>16</v>
      </c>
      <c r="Q13" s="45">
        <v>16</v>
      </c>
      <c r="R13" s="45">
        <v>15.4</v>
      </c>
      <c r="S13" s="45">
        <v>15.4</v>
      </c>
      <c r="T13" s="45">
        <v>15.4</v>
      </c>
      <c r="U13" s="45">
        <v>15.4</v>
      </c>
      <c r="V13" s="45">
        <v>15.4</v>
      </c>
      <c r="W13" s="45">
        <v>15.4</v>
      </c>
      <c r="X13" s="45">
        <v>15.3</v>
      </c>
      <c r="Y13" s="45">
        <v>15.3</v>
      </c>
      <c r="Z13" s="45">
        <v>15.3</v>
      </c>
      <c r="AA13" s="45">
        <v>15.3</v>
      </c>
      <c r="AB13" s="45">
        <v>15.3</v>
      </c>
      <c r="AC13" s="45">
        <v>15.3</v>
      </c>
      <c r="AD13" s="45">
        <v>15.3</v>
      </c>
      <c r="AE13" s="45">
        <v>15.3</v>
      </c>
      <c r="AF13" s="45">
        <v>15.3</v>
      </c>
      <c r="AG13" s="50">
        <v>45</v>
      </c>
      <c r="AH13" s="47">
        <f t="shared" si="2"/>
        <v>16</v>
      </c>
      <c r="AI13" s="48">
        <f t="shared" si="3"/>
        <v>15.3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9.5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8.1999999999999993</v>
      </c>
      <c r="C16" s="45">
        <v>8.1999999999999993</v>
      </c>
      <c r="D16" s="45">
        <v>8.1999999999999993</v>
      </c>
      <c r="E16" s="45">
        <v>8.1999999999999993</v>
      </c>
      <c r="F16" s="45">
        <v>8.1999999999999993</v>
      </c>
      <c r="G16" s="45">
        <v>8.1999999999999993</v>
      </c>
      <c r="H16" s="45">
        <v>8.1999999999999993</v>
      </c>
      <c r="I16" s="45">
        <v>8.1999999999999993</v>
      </c>
      <c r="J16" s="45">
        <v>8.1999999999999993</v>
      </c>
      <c r="K16" s="45">
        <v>8.1999999999999993</v>
      </c>
      <c r="L16" s="45">
        <v>8.1999999999999993</v>
      </c>
      <c r="M16" s="45">
        <v>8.1</v>
      </c>
      <c r="N16" s="45">
        <v>8.1</v>
      </c>
      <c r="O16" s="45">
        <v>8.1</v>
      </c>
      <c r="P16" s="45">
        <v>8.1</v>
      </c>
      <c r="Q16" s="45">
        <v>8.1</v>
      </c>
      <c r="R16" s="45">
        <v>7.8</v>
      </c>
      <c r="S16" s="45">
        <v>7.8</v>
      </c>
      <c r="T16" s="45">
        <v>7.8</v>
      </c>
      <c r="U16" s="45">
        <v>7.8</v>
      </c>
      <c r="V16" s="45">
        <v>7.8</v>
      </c>
      <c r="W16" s="45">
        <v>7.8</v>
      </c>
      <c r="X16" s="45">
        <v>7.5</v>
      </c>
      <c r="Y16" s="45">
        <v>7.6</v>
      </c>
      <c r="Z16" s="45">
        <v>7.5</v>
      </c>
      <c r="AA16" s="45">
        <v>7.5</v>
      </c>
      <c r="AB16" s="45">
        <v>7.5</v>
      </c>
      <c r="AC16" s="45">
        <v>7.5</v>
      </c>
      <c r="AD16" s="45">
        <v>7.5</v>
      </c>
      <c r="AE16" s="45">
        <v>7.5</v>
      </c>
      <c r="AF16" s="45">
        <v>7.5</v>
      </c>
      <c r="AG16" s="51">
        <v>30</v>
      </c>
      <c r="AH16" s="47">
        <f t="shared" si="2"/>
        <v>8.1999999999999993</v>
      </c>
      <c r="AI16" s="48">
        <f t="shared" si="3"/>
        <v>7.5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7.2</v>
      </c>
      <c r="C17" s="45">
        <v>7.2</v>
      </c>
      <c r="D17" s="45">
        <v>7.2</v>
      </c>
      <c r="E17" s="45">
        <v>7.2</v>
      </c>
      <c r="F17" s="45">
        <v>7.2</v>
      </c>
      <c r="G17" s="45">
        <v>7.2</v>
      </c>
      <c r="H17" s="45">
        <v>7.2</v>
      </c>
      <c r="I17" s="45">
        <v>7.2</v>
      </c>
      <c r="J17" s="45">
        <v>7.2</v>
      </c>
      <c r="K17" s="45">
        <v>7.2</v>
      </c>
      <c r="L17" s="45">
        <v>7.2</v>
      </c>
      <c r="M17" s="45">
        <v>7.2</v>
      </c>
      <c r="N17" s="45">
        <v>7.2</v>
      </c>
      <c r="O17" s="45">
        <v>7.2</v>
      </c>
      <c r="P17" s="45">
        <v>7.2</v>
      </c>
      <c r="Q17" s="45">
        <v>7.2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7.2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9.6</v>
      </c>
      <c r="C20" s="45">
        <v>9.6</v>
      </c>
      <c r="D20" s="45">
        <v>9.6</v>
      </c>
      <c r="E20" s="45">
        <v>9.6</v>
      </c>
      <c r="F20" s="45">
        <v>9.6</v>
      </c>
      <c r="G20" s="45">
        <v>9.6</v>
      </c>
      <c r="H20" s="45">
        <v>9.6</v>
      </c>
      <c r="I20" s="45">
        <v>9.6</v>
      </c>
      <c r="J20" s="45">
        <v>9.6</v>
      </c>
      <c r="K20" s="45">
        <v>9.6</v>
      </c>
      <c r="L20" s="45">
        <v>9.6</v>
      </c>
      <c r="M20" s="45">
        <v>9.6999999999999993</v>
      </c>
      <c r="N20" s="45">
        <v>9.6999999999999993</v>
      </c>
      <c r="O20" s="45">
        <v>9.6999999999999993</v>
      </c>
      <c r="P20" s="45">
        <v>9.6999999999999993</v>
      </c>
      <c r="Q20" s="45">
        <v>9.6999999999999993</v>
      </c>
      <c r="R20" s="45">
        <v>10.6</v>
      </c>
      <c r="S20" s="45">
        <v>10.6</v>
      </c>
      <c r="T20" s="45">
        <v>10.6</v>
      </c>
      <c r="U20" s="45">
        <v>10.6</v>
      </c>
      <c r="V20" s="45">
        <v>10.6</v>
      </c>
      <c r="W20" s="45">
        <v>10.6</v>
      </c>
      <c r="X20" s="45">
        <v>10.6</v>
      </c>
      <c r="Y20" s="45">
        <v>10.6</v>
      </c>
      <c r="Z20" s="45">
        <v>10.6</v>
      </c>
      <c r="AA20" s="45">
        <v>10.6</v>
      </c>
      <c r="AB20" s="45">
        <v>10.6</v>
      </c>
      <c r="AC20" s="45">
        <v>10.6</v>
      </c>
      <c r="AD20" s="45">
        <v>10.6</v>
      </c>
      <c r="AE20" s="45">
        <v>10.6</v>
      </c>
      <c r="AF20" s="45">
        <v>10.6</v>
      </c>
      <c r="AG20" s="50">
        <v>25</v>
      </c>
      <c r="AH20" s="47">
        <f t="shared" si="2"/>
        <v>10.6</v>
      </c>
      <c r="AI20" s="48">
        <f t="shared" si="3"/>
        <v>9.6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7.1</v>
      </c>
      <c r="C24" s="45">
        <v>7.1</v>
      </c>
      <c r="D24" s="45">
        <v>7.1</v>
      </c>
      <c r="E24" s="45">
        <v>7.1</v>
      </c>
      <c r="F24" s="45">
        <v>7.1</v>
      </c>
      <c r="G24" s="45">
        <v>7.1</v>
      </c>
      <c r="H24" s="45">
        <v>7.1</v>
      </c>
      <c r="I24" s="45">
        <v>7.1</v>
      </c>
      <c r="J24" s="45">
        <v>7.1</v>
      </c>
      <c r="K24" s="45">
        <v>7.1</v>
      </c>
      <c r="L24" s="45">
        <v>7.1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50">
        <v>23.5</v>
      </c>
      <c r="AH24" s="47">
        <f t="shared" si="2"/>
        <v>7.2</v>
      </c>
      <c r="AI24" s="48">
        <f t="shared" si="3"/>
        <v>6.7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10.5</v>
      </c>
      <c r="C28" s="45">
        <v>10.5</v>
      </c>
      <c r="D28" s="45">
        <v>10.5</v>
      </c>
      <c r="E28" s="45">
        <v>10.5</v>
      </c>
      <c r="F28" s="45">
        <v>10.5</v>
      </c>
      <c r="G28" s="45">
        <v>10.5</v>
      </c>
      <c r="H28" s="45">
        <v>10.5</v>
      </c>
      <c r="I28" s="45">
        <v>10.5</v>
      </c>
      <c r="J28" s="45">
        <v>10.5</v>
      </c>
      <c r="K28" s="45">
        <v>10.5</v>
      </c>
      <c r="L28" s="45">
        <v>10.5</v>
      </c>
      <c r="M28" s="45">
        <v>9</v>
      </c>
      <c r="N28" s="45">
        <v>9</v>
      </c>
      <c r="O28" s="45">
        <v>9</v>
      </c>
      <c r="P28" s="45">
        <v>9</v>
      </c>
      <c r="Q28" s="45">
        <v>9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10.5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50">
        <v>12</v>
      </c>
      <c r="AH35" s="47">
        <f t="shared" si="2"/>
        <v>4</v>
      </c>
      <c r="AI35" s="48">
        <f t="shared" si="3"/>
        <v>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358.5</v>
      </c>
      <c r="C44" s="60">
        <f t="shared" ref="C44:AG44" si="5">SUM(C11:C42)</f>
        <v>358.5</v>
      </c>
      <c r="D44" s="60">
        <f t="shared" si="5"/>
        <v>358.5</v>
      </c>
      <c r="E44" s="60">
        <f t="shared" si="5"/>
        <v>358.5</v>
      </c>
      <c r="F44" s="60">
        <f t="shared" ref="F44" si="6">SUM(F11:F42)</f>
        <v>358.5</v>
      </c>
      <c r="G44" s="60">
        <f t="shared" si="5"/>
        <v>358.5</v>
      </c>
      <c r="H44" s="60">
        <f t="shared" si="5"/>
        <v>358.5</v>
      </c>
      <c r="I44" s="60">
        <f t="shared" si="5"/>
        <v>358.5</v>
      </c>
      <c r="J44" s="60">
        <f t="shared" si="5"/>
        <v>358.5</v>
      </c>
      <c r="K44" s="60">
        <f t="shared" si="5"/>
        <v>358.5</v>
      </c>
      <c r="L44" s="60">
        <f t="shared" si="5"/>
        <v>358.5</v>
      </c>
      <c r="M44" s="60">
        <f t="shared" ref="M44" si="7">SUM(M11:M42)</f>
        <v>357.2</v>
      </c>
      <c r="N44" s="60">
        <f t="shared" si="5"/>
        <v>357.2</v>
      </c>
      <c r="O44" s="60">
        <f t="shared" si="5"/>
        <v>357.2</v>
      </c>
      <c r="P44" s="60">
        <f t="shared" si="5"/>
        <v>357.2</v>
      </c>
      <c r="Q44" s="60">
        <f t="shared" si="5"/>
        <v>357.2</v>
      </c>
      <c r="R44" s="60">
        <f t="shared" ref="R44" si="8">SUM(R11:R42)</f>
        <v>357.9</v>
      </c>
      <c r="S44" s="60">
        <f t="shared" si="5"/>
        <v>356.6</v>
      </c>
      <c r="T44" s="60">
        <f t="shared" si="5"/>
        <v>354.6</v>
      </c>
      <c r="U44" s="60">
        <f t="shared" si="5"/>
        <v>354.6</v>
      </c>
      <c r="V44" s="60">
        <f t="shared" si="5"/>
        <v>354.6</v>
      </c>
      <c r="W44" s="60">
        <f t="shared" ref="W44" si="9">SUM(W11:W42)</f>
        <v>354.6</v>
      </c>
      <c r="X44" s="60">
        <f t="shared" si="5"/>
        <v>353.6</v>
      </c>
      <c r="Y44" s="60">
        <v>353.79999999999995</v>
      </c>
      <c r="Z44" s="60">
        <f t="shared" si="5"/>
        <v>353.5</v>
      </c>
      <c r="AA44" s="60">
        <f t="shared" si="5"/>
        <v>353.5</v>
      </c>
      <c r="AB44" s="60">
        <f t="shared" si="5"/>
        <v>353.5</v>
      </c>
      <c r="AC44" s="60">
        <f t="shared" si="5"/>
        <v>353.5</v>
      </c>
      <c r="AD44" s="60">
        <f t="shared" si="5"/>
        <v>353.5</v>
      </c>
      <c r="AE44" s="60">
        <f t="shared" si="5"/>
        <v>353.5</v>
      </c>
      <c r="AF44" s="60">
        <f t="shared" si="5"/>
        <v>353.5</v>
      </c>
      <c r="AG44" s="61">
        <f t="shared" si="5"/>
        <v>814.78000000000009</v>
      </c>
      <c r="AH44" s="47">
        <f t="shared" si="2"/>
        <v>358.5</v>
      </c>
      <c r="AI44" s="48">
        <f t="shared" si="3"/>
        <v>353.5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40</v>
      </c>
      <c r="G45" s="45">
        <v>65</v>
      </c>
      <c r="H45" s="45">
        <v>75</v>
      </c>
      <c r="I45" s="45">
        <v>60</v>
      </c>
      <c r="J45" s="45">
        <v>325</v>
      </c>
      <c r="K45" s="45">
        <v>325</v>
      </c>
      <c r="L45" s="45">
        <v>360</v>
      </c>
      <c r="M45" s="45">
        <v>340</v>
      </c>
      <c r="N45" s="63">
        <v>150</v>
      </c>
      <c r="O45" s="45">
        <v>0</v>
      </c>
      <c r="P45" s="45">
        <v>0</v>
      </c>
      <c r="Q45" s="45">
        <v>15</v>
      </c>
      <c r="R45" s="45">
        <v>30</v>
      </c>
      <c r="S45" s="45">
        <v>30</v>
      </c>
      <c r="T45" s="45">
        <v>70</v>
      </c>
      <c r="U45" s="45">
        <v>70</v>
      </c>
      <c r="V45" s="45">
        <v>70</v>
      </c>
      <c r="W45" s="45">
        <v>60</v>
      </c>
      <c r="X45" s="45">
        <v>80</v>
      </c>
      <c r="Y45" s="45">
        <v>80</v>
      </c>
      <c r="Z45" s="45">
        <v>150</v>
      </c>
      <c r="AA45" s="45">
        <v>150</v>
      </c>
      <c r="AB45" s="45">
        <v>15</v>
      </c>
      <c r="AC45" s="45">
        <v>15</v>
      </c>
      <c r="AD45" s="45">
        <v>15</v>
      </c>
      <c r="AE45" s="45">
        <v>35</v>
      </c>
      <c r="AF45" s="45">
        <v>35</v>
      </c>
      <c r="AG45" s="51">
        <v>456</v>
      </c>
      <c r="AH45" s="47">
        <f t="shared" si="2"/>
        <v>360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</v>
      </c>
      <c r="E47" s="67">
        <v>12</v>
      </c>
      <c r="F47" s="67">
        <v>12</v>
      </c>
      <c r="G47" s="67">
        <v>12</v>
      </c>
      <c r="H47" s="67">
        <v>12.2</v>
      </c>
      <c r="I47" s="67">
        <v>12.2</v>
      </c>
      <c r="J47" s="67">
        <v>12.2</v>
      </c>
      <c r="K47" s="67">
        <v>12.2</v>
      </c>
      <c r="L47" s="67">
        <v>12.2</v>
      </c>
      <c r="M47" s="67">
        <v>12.2</v>
      </c>
      <c r="N47" s="67">
        <v>12.2</v>
      </c>
      <c r="O47" s="67">
        <v>11.2</v>
      </c>
      <c r="P47" s="67">
        <v>11.2</v>
      </c>
      <c r="Q47" s="67">
        <v>11.2</v>
      </c>
      <c r="R47" s="67">
        <v>11.2</v>
      </c>
      <c r="S47" s="67">
        <v>11.2</v>
      </c>
      <c r="T47" s="67">
        <v>11.2</v>
      </c>
      <c r="U47" s="67">
        <v>11.2</v>
      </c>
      <c r="V47" s="67">
        <v>11.2</v>
      </c>
      <c r="W47" s="67">
        <v>11.2</v>
      </c>
      <c r="X47" s="67">
        <v>10.199999999999999</v>
      </c>
      <c r="Y47" s="67">
        <v>10.199999999999999</v>
      </c>
      <c r="Z47" s="67">
        <v>17.100000000000001</v>
      </c>
      <c r="AA47" s="67">
        <v>17.100000000000001</v>
      </c>
      <c r="AB47" s="67">
        <v>17.100000000000001</v>
      </c>
      <c r="AC47" s="67">
        <v>17</v>
      </c>
      <c r="AD47" s="67">
        <v>17</v>
      </c>
      <c r="AE47" s="67">
        <v>17</v>
      </c>
      <c r="AF47" s="67">
        <v>17</v>
      </c>
      <c r="AG47" s="68">
        <v>22.1</v>
      </c>
      <c r="AH47" s="47">
        <f t="shared" si="2"/>
        <v>17.100000000000001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" si="10">SUM(B45:B47)</f>
        <v>40</v>
      </c>
      <c r="C48" s="60">
        <f t="shared" ref="C48:AG48" si="11">SUM(C45:C47)</f>
        <v>40</v>
      </c>
      <c r="D48" s="60">
        <f t="shared" si="11"/>
        <v>40</v>
      </c>
      <c r="E48" s="60">
        <f t="shared" si="11"/>
        <v>40</v>
      </c>
      <c r="F48" s="60">
        <f t="shared" ref="F48" si="12">SUM(F45:F47)</f>
        <v>80</v>
      </c>
      <c r="G48" s="60">
        <f t="shared" si="11"/>
        <v>105</v>
      </c>
      <c r="H48" s="60">
        <f t="shared" si="11"/>
        <v>115.2</v>
      </c>
      <c r="I48" s="60">
        <f t="shared" si="11"/>
        <v>100.2</v>
      </c>
      <c r="J48" s="60">
        <f t="shared" si="11"/>
        <v>365.2</v>
      </c>
      <c r="K48" s="60">
        <f t="shared" si="11"/>
        <v>365.2</v>
      </c>
      <c r="L48" s="60">
        <f t="shared" si="11"/>
        <v>400.2</v>
      </c>
      <c r="M48" s="60">
        <f t="shared" si="11"/>
        <v>380.2</v>
      </c>
      <c r="N48" s="60">
        <f t="shared" si="11"/>
        <v>190.2</v>
      </c>
      <c r="O48" s="60">
        <f t="shared" si="11"/>
        <v>39.200000000000003</v>
      </c>
      <c r="P48" s="60">
        <f t="shared" si="11"/>
        <v>39.200000000000003</v>
      </c>
      <c r="Q48" s="60">
        <f t="shared" si="11"/>
        <v>54.2</v>
      </c>
      <c r="R48" s="60">
        <f t="shared" si="11"/>
        <v>69.2</v>
      </c>
      <c r="S48" s="60">
        <f t="shared" si="11"/>
        <v>69.2</v>
      </c>
      <c r="T48" s="60">
        <f t="shared" si="11"/>
        <v>109.2</v>
      </c>
      <c r="U48" s="60">
        <f t="shared" si="11"/>
        <v>109.2</v>
      </c>
      <c r="V48" s="60">
        <f t="shared" si="11"/>
        <v>109.2</v>
      </c>
      <c r="W48" s="60">
        <f t="shared" si="11"/>
        <v>99.2</v>
      </c>
      <c r="X48" s="60">
        <f t="shared" si="11"/>
        <v>118.2</v>
      </c>
      <c r="Y48" s="60">
        <v>118.2</v>
      </c>
      <c r="Z48" s="60">
        <f t="shared" si="11"/>
        <v>195.1</v>
      </c>
      <c r="AA48" s="60">
        <f t="shared" si="11"/>
        <v>195.1</v>
      </c>
      <c r="AB48" s="60">
        <f t="shared" si="11"/>
        <v>60.1</v>
      </c>
      <c r="AC48" s="60">
        <f t="shared" si="11"/>
        <v>60</v>
      </c>
      <c r="AD48" s="60">
        <f t="shared" si="11"/>
        <v>60</v>
      </c>
      <c r="AE48" s="60">
        <f t="shared" si="11"/>
        <v>80</v>
      </c>
      <c r="AF48" s="60">
        <f t="shared" si="11"/>
        <v>80</v>
      </c>
      <c r="AG48" s="61">
        <f t="shared" si="11"/>
        <v>538.1</v>
      </c>
      <c r="AH48" s="47">
        <f t="shared" si="2"/>
        <v>400.2</v>
      </c>
      <c r="AI48" s="48">
        <f t="shared" si="3"/>
        <v>39.200000000000003</v>
      </c>
      <c r="AK48" s="49"/>
    </row>
    <row r="49" spans="1:41" x14ac:dyDescent="0.25">
      <c r="A49" s="44" t="s">
        <v>57</v>
      </c>
      <c r="B49" s="45">
        <v>28.7</v>
      </c>
      <c r="C49" s="45">
        <v>28.3</v>
      </c>
      <c r="D49" s="45">
        <v>28.6</v>
      </c>
      <c r="E49" s="45">
        <v>0</v>
      </c>
      <c r="F49" s="45">
        <v>0</v>
      </c>
      <c r="G49" s="45">
        <v>22</v>
      </c>
      <c r="H49" s="45">
        <v>47.4</v>
      </c>
      <c r="I49" s="45">
        <v>46.7</v>
      </c>
      <c r="J49" s="45">
        <v>68.400000000000006</v>
      </c>
      <c r="K49" s="45">
        <v>70.7</v>
      </c>
      <c r="L49" s="45">
        <v>61</v>
      </c>
      <c r="M49" s="45">
        <v>61.6</v>
      </c>
      <c r="N49" s="45">
        <v>60.7</v>
      </c>
      <c r="O49" s="45">
        <v>81.7</v>
      </c>
      <c r="P49" s="45">
        <v>61.4</v>
      </c>
      <c r="Q49" s="45">
        <v>61.1</v>
      </c>
      <c r="R49" s="45">
        <v>75.2</v>
      </c>
      <c r="S49" s="45">
        <v>75</v>
      </c>
      <c r="T49" s="45">
        <v>75</v>
      </c>
      <c r="U49" s="45">
        <v>85</v>
      </c>
      <c r="V49" s="45">
        <v>70</v>
      </c>
      <c r="W49" s="45">
        <v>60.5</v>
      </c>
      <c r="X49" s="45">
        <v>77.5</v>
      </c>
      <c r="Y49" s="45">
        <v>140</v>
      </c>
      <c r="Z49" s="45">
        <v>140.4</v>
      </c>
      <c r="AA49" s="45">
        <v>110</v>
      </c>
      <c r="AB49" s="45">
        <v>81</v>
      </c>
      <c r="AC49" s="45">
        <v>68.2</v>
      </c>
      <c r="AD49" s="45">
        <v>66</v>
      </c>
      <c r="AE49" s="45">
        <v>35</v>
      </c>
      <c r="AF49" s="45">
        <v>0</v>
      </c>
      <c r="AG49" s="51">
        <v>144</v>
      </c>
      <c r="AH49" s="47">
        <f t="shared" si="2"/>
        <v>140.4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28.5</v>
      </c>
      <c r="J50" s="65">
        <v>35.4</v>
      </c>
      <c r="K50" s="65">
        <v>68.3</v>
      </c>
      <c r="L50" s="65">
        <v>60.4</v>
      </c>
      <c r="M50" s="65">
        <v>60.2</v>
      </c>
      <c r="N50" s="65">
        <v>70.3</v>
      </c>
      <c r="O50" s="65">
        <v>70.099999999999994</v>
      </c>
      <c r="P50" s="65">
        <v>71.7</v>
      </c>
      <c r="Q50" s="65">
        <v>51.1</v>
      </c>
      <c r="R50" s="45">
        <v>34.4</v>
      </c>
      <c r="S50" s="45">
        <v>24.6</v>
      </c>
      <c r="T50" s="45">
        <v>22.3</v>
      </c>
      <c r="U50" s="45">
        <v>22.3</v>
      </c>
      <c r="V50" s="45">
        <v>22.3</v>
      </c>
      <c r="W50" s="45">
        <v>22.3</v>
      </c>
      <c r="X50" s="45">
        <v>30.3</v>
      </c>
      <c r="Y50" s="45">
        <v>60.3</v>
      </c>
      <c r="Z50" s="45">
        <v>60.9</v>
      </c>
      <c r="AA50" s="45">
        <v>60.9</v>
      </c>
      <c r="AB50" s="45">
        <v>43.4</v>
      </c>
      <c r="AC50" s="45">
        <v>44.8</v>
      </c>
      <c r="AD50" s="45">
        <v>46</v>
      </c>
      <c r="AE50" s="45">
        <v>23</v>
      </c>
      <c r="AF50" s="45">
        <v>0</v>
      </c>
      <c r="AG50" s="54">
        <v>70</v>
      </c>
      <c r="AH50" s="47">
        <f t="shared" si="2"/>
        <v>71.7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17.8</v>
      </c>
      <c r="H51" s="65">
        <v>17.399999999999999</v>
      </c>
      <c r="I51" s="65">
        <v>45.1</v>
      </c>
      <c r="J51" s="65">
        <v>68.599999999999994</v>
      </c>
      <c r="K51" s="65">
        <v>66.5</v>
      </c>
      <c r="L51" s="65">
        <v>60.6</v>
      </c>
      <c r="M51" s="65">
        <v>53.8</v>
      </c>
      <c r="N51" s="65">
        <v>53.6</v>
      </c>
      <c r="O51" s="65">
        <v>46.4</v>
      </c>
      <c r="P51" s="65">
        <v>45.8</v>
      </c>
      <c r="Q51" s="65">
        <v>35.799999999999997</v>
      </c>
      <c r="R51" s="45">
        <v>18.399999999999999</v>
      </c>
      <c r="S51" s="45">
        <v>22.8</v>
      </c>
      <c r="T51" s="45">
        <v>22.7</v>
      </c>
      <c r="U51" s="45">
        <v>22.7</v>
      </c>
      <c r="V51" s="45">
        <v>22.7</v>
      </c>
      <c r="W51" s="45">
        <v>22.7</v>
      </c>
      <c r="X51" s="45">
        <v>60</v>
      </c>
      <c r="Y51" s="45">
        <v>61.4</v>
      </c>
      <c r="Z51" s="45">
        <v>69</v>
      </c>
      <c r="AA51" s="45">
        <v>50</v>
      </c>
      <c r="AB51" s="45">
        <v>59</v>
      </c>
      <c r="AC51" s="45">
        <v>51.8</v>
      </c>
      <c r="AD51" s="45">
        <v>36</v>
      </c>
      <c r="AE51" s="45">
        <v>36</v>
      </c>
      <c r="AF51" s="45">
        <v>16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44</v>
      </c>
      <c r="C52" s="65">
        <v>44</v>
      </c>
      <c r="D52" s="65">
        <v>44</v>
      </c>
      <c r="E52" s="56">
        <v>43.1</v>
      </c>
      <c r="F52" s="56">
        <v>43.1</v>
      </c>
      <c r="G52" s="56">
        <v>43.1</v>
      </c>
      <c r="H52" s="56">
        <v>43.1</v>
      </c>
      <c r="I52" s="56">
        <v>43.1</v>
      </c>
      <c r="J52" s="56">
        <v>43.1</v>
      </c>
      <c r="K52" s="56">
        <v>43.1</v>
      </c>
      <c r="L52" s="56">
        <v>43.1</v>
      </c>
      <c r="M52" s="65">
        <v>45.9</v>
      </c>
      <c r="N52" s="65">
        <v>45.3</v>
      </c>
      <c r="O52" s="65">
        <v>45.3</v>
      </c>
      <c r="P52" s="65">
        <v>45.3</v>
      </c>
      <c r="Q52" s="65">
        <v>44.1</v>
      </c>
      <c r="R52" s="45">
        <v>43.1</v>
      </c>
      <c r="S52" s="45">
        <v>43.1</v>
      </c>
      <c r="T52" s="45">
        <v>43.3</v>
      </c>
      <c r="U52" s="45">
        <v>43.3</v>
      </c>
      <c r="V52" s="45">
        <v>43.3</v>
      </c>
      <c r="W52" s="45">
        <v>43.3</v>
      </c>
      <c r="X52" s="65">
        <v>40</v>
      </c>
      <c r="Y52" s="65">
        <v>40</v>
      </c>
      <c r="Z52" s="65">
        <v>40</v>
      </c>
      <c r="AA52" s="65">
        <v>40</v>
      </c>
      <c r="AB52" s="65">
        <v>40</v>
      </c>
      <c r="AC52" s="65">
        <v>40</v>
      </c>
      <c r="AD52" s="65">
        <v>40</v>
      </c>
      <c r="AE52" s="65">
        <v>40</v>
      </c>
      <c r="AF52" s="65">
        <v>40</v>
      </c>
      <c r="AG52" s="54">
        <v>60</v>
      </c>
      <c r="AH52" s="47">
        <f t="shared" si="2"/>
        <v>45.9</v>
      </c>
      <c r="AI52" s="48">
        <f t="shared" si="3"/>
        <v>40</v>
      </c>
      <c r="AK52" s="49"/>
    </row>
    <row r="53" spans="1:41" x14ac:dyDescent="0.25">
      <c r="A53" s="53" t="s">
        <v>61</v>
      </c>
      <c r="B53" s="65">
        <v>0</v>
      </c>
      <c r="C53" s="65">
        <v>0</v>
      </c>
      <c r="D53" s="65">
        <v>0</v>
      </c>
      <c r="E53" s="65">
        <v>0</v>
      </c>
      <c r="F53" s="65">
        <v>13</v>
      </c>
      <c r="G53" s="65">
        <v>13</v>
      </c>
      <c r="H53" s="65">
        <v>13</v>
      </c>
      <c r="I53" s="65">
        <v>13</v>
      </c>
      <c r="J53" s="65">
        <v>15</v>
      </c>
      <c r="K53" s="65">
        <v>15</v>
      </c>
      <c r="L53" s="65">
        <v>15</v>
      </c>
      <c r="M53" s="65">
        <v>15</v>
      </c>
      <c r="N53" s="65">
        <v>15</v>
      </c>
      <c r="O53" s="65">
        <v>13</v>
      </c>
      <c r="P53" s="65">
        <v>13</v>
      </c>
      <c r="Q53" s="65">
        <v>13</v>
      </c>
      <c r="R53" s="45">
        <v>13</v>
      </c>
      <c r="S53" s="45">
        <v>13</v>
      </c>
      <c r="T53" s="45">
        <v>0</v>
      </c>
      <c r="U53" s="45">
        <v>0</v>
      </c>
      <c r="V53" s="45">
        <v>0</v>
      </c>
      <c r="W53" s="45">
        <v>0</v>
      </c>
      <c r="X53" s="65">
        <v>13.6</v>
      </c>
      <c r="Y53" s="65">
        <v>26</v>
      </c>
      <c r="Z53" s="65">
        <v>26.2</v>
      </c>
      <c r="AA53" s="65">
        <v>26.2</v>
      </c>
      <c r="AB53" s="65">
        <v>26.2</v>
      </c>
      <c r="AC53" s="65">
        <v>13</v>
      </c>
      <c r="AD53" s="65">
        <v>13</v>
      </c>
      <c r="AE53" s="65">
        <v>0</v>
      </c>
      <c r="AF53" s="65">
        <v>0</v>
      </c>
      <c r="AG53" s="54">
        <v>30</v>
      </c>
      <c r="AH53" s="47">
        <f t="shared" si="2"/>
        <v>26.2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2</v>
      </c>
      <c r="N54" s="65">
        <v>4</v>
      </c>
      <c r="O54" s="65">
        <v>6</v>
      </c>
      <c r="P54" s="65">
        <v>8</v>
      </c>
      <c r="Q54" s="65">
        <v>10</v>
      </c>
      <c r="R54" s="65">
        <v>10</v>
      </c>
      <c r="S54" s="65">
        <v>10</v>
      </c>
      <c r="T54" s="65">
        <v>10</v>
      </c>
      <c r="U54" s="65">
        <v>10</v>
      </c>
      <c r="V54" s="65">
        <v>10</v>
      </c>
      <c r="W54" s="65">
        <v>5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14</v>
      </c>
      <c r="C55" s="65">
        <v>14</v>
      </c>
      <c r="D55" s="65">
        <v>14</v>
      </c>
      <c r="E55" s="65">
        <v>14</v>
      </c>
      <c r="F55" s="65">
        <v>14</v>
      </c>
      <c r="G55" s="65">
        <v>14</v>
      </c>
      <c r="H55" s="65">
        <v>14</v>
      </c>
      <c r="I55" s="65">
        <v>14</v>
      </c>
      <c r="J55" s="65">
        <v>14</v>
      </c>
      <c r="K55" s="65">
        <v>14</v>
      </c>
      <c r="L55" s="65">
        <v>14</v>
      </c>
      <c r="M55" s="65">
        <v>14</v>
      </c>
      <c r="N55" s="65">
        <v>14</v>
      </c>
      <c r="O55" s="65">
        <v>14</v>
      </c>
      <c r="P55" s="65">
        <v>14</v>
      </c>
      <c r="Q55" s="65">
        <v>14</v>
      </c>
      <c r="R55" s="65">
        <v>14</v>
      </c>
      <c r="S55" s="65">
        <v>14</v>
      </c>
      <c r="T55" s="65">
        <v>14</v>
      </c>
      <c r="U55" s="65">
        <v>14</v>
      </c>
      <c r="V55" s="65">
        <v>14</v>
      </c>
      <c r="W55" s="65">
        <v>14</v>
      </c>
      <c r="X55" s="65">
        <v>14</v>
      </c>
      <c r="Y55" s="65">
        <v>14</v>
      </c>
      <c r="Z55" s="65">
        <v>14</v>
      </c>
      <c r="AA55" s="65">
        <v>14</v>
      </c>
      <c r="AB55" s="65">
        <v>14</v>
      </c>
      <c r="AC55" s="65">
        <v>14</v>
      </c>
      <c r="AD55" s="65">
        <v>14</v>
      </c>
      <c r="AE55" s="65">
        <v>14</v>
      </c>
      <c r="AF55" s="65">
        <v>14</v>
      </c>
      <c r="AG55" s="54">
        <v>24</v>
      </c>
      <c r="AH55" s="47">
        <f t="shared" si="2"/>
        <v>14</v>
      </c>
      <c r="AI55" s="48">
        <f t="shared" si="3"/>
        <v>14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10.1</v>
      </c>
      <c r="C57" s="65">
        <v>10.1</v>
      </c>
      <c r="D57" s="65">
        <v>10.1</v>
      </c>
      <c r="E57" s="65">
        <v>10.1</v>
      </c>
      <c r="F57" s="65">
        <v>10.1</v>
      </c>
      <c r="G57" s="65">
        <v>10.1</v>
      </c>
      <c r="H57" s="65">
        <v>10.1</v>
      </c>
      <c r="I57" s="65">
        <v>10.1</v>
      </c>
      <c r="J57" s="65">
        <v>10.1</v>
      </c>
      <c r="K57" s="65">
        <v>10.1</v>
      </c>
      <c r="L57" s="65">
        <v>10.1</v>
      </c>
      <c r="M57" s="65">
        <v>10.5</v>
      </c>
      <c r="N57" s="65">
        <v>10.5</v>
      </c>
      <c r="O57" s="65">
        <v>10.5</v>
      </c>
      <c r="P57" s="65">
        <v>10.5</v>
      </c>
      <c r="Q57" s="65">
        <v>10.5</v>
      </c>
      <c r="R57" s="65">
        <v>10.5</v>
      </c>
      <c r="S57" s="65">
        <v>10.5</v>
      </c>
      <c r="T57" s="65">
        <v>10.5</v>
      </c>
      <c r="U57" s="65">
        <v>10.5</v>
      </c>
      <c r="V57" s="65">
        <v>10.5</v>
      </c>
      <c r="W57" s="65">
        <v>10.5</v>
      </c>
      <c r="X57" s="65">
        <v>10.5</v>
      </c>
      <c r="Y57" s="65">
        <v>10.5</v>
      </c>
      <c r="Z57" s="65">
        <v>10.5</v>
      </c>
      <c r="AA57" s="65">
        <v>10.5</v>
      </c>
      <c r="AB57" s="65">
        <v>10.5</v>
      </c>
      <c r="AC57" s="65">
        <v>10.5</v>
      </c>
      <c r="AD57" s="65">
        <v>10.5</v>
      </c>
      <c r="AE57" s="65">
        <v>10.5</v>
      </c>
      <c r="AF57" s="65">
        <v>10.5</v>
      </c>
      <c r="AG57" s="54">
        <v>14.1</v>
      </c>
      <c r="AH57" s="47">
        <f t="shared" si="2"/>
        <v>10.5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5.5</v>
      </c>
      <c r="C58" s="65">
        <v>5.5</v>
      </c>
      <c r="D58" s="65">
        <v>5.5</v>
      </c>
      <c r="E58" s="65">
        <v>5.5</v>
      </c>
      <c r="F58" s="65">
        <v>5.5</v>
      </c>
      <c r="G58" s="65">
        <v>5.5</v>
      </c>
      <c r="H58" s="65">
        <v>5.5</v>
      </c>
      <c r="I58" s="65">
        <v>5.5</v>
      </c>
      <c r="J58" s="65">
        <v>5.5</v>
      </c>
      <c r="K58" s="65">
        <v>5.5</v>
      </c>
      <c r="L58" s="65">
        <v>5.5</v>
      </c>
      <c r="M58" s="65">
        <v>4.9000000000000004</v>
      </c>
      <c r="N58" s="65">
        <v>4.9000000000000004</v>
      </c>
      <c r="O58" s="65">
        <v>4.9000000000000004</v>
      </c>
      <c r="P58" s="65">
        <v>4.9000000000000004</v>
      </c>
      <c r="Q58" s="65">
        <v>4.9000000000000004</v>
      </c>
      <c r="R58" s="65">
        <v>4.9000000000000004</v>
      </c>
      <c r="S58" s="65">
        <v>4.9000000000000004</v>
      </c>
      <c r="T58" s="65">
        <v>4.9000000000000004</v>
      </c>
      <c r="U58" s="65">
        <v>4.9000000000000004</v>
      </c>
      <c r="V58" s="65">
        <v>4.9000000000000004</v>
      </c>
      <c r="W58" s="65">
        <v>4.9000000000000004</v>
      </c>
      <c r="X58" s="65">
        <v>4.9000000000000004</v>
      </c>
      <c r="Y58" s="65">
        <v>4.9000000000000004</v>
      </c>
      <c r="Z58" s="65">
        <v>4.9000000000000004</v>
      </c>
      <c r="AA58" s="65">
        <v>4.9000000000000004</v>
      </c>
      <c r="AB58" s="65">
        <v>4.9000000000000004</v>
      </c>
      <c r="AC58" s="65">
        <v>4.9000000000000004</v>
      </c>
      <c r="AD58" s="65">
        <v>4.9000000000000004</v>
      </c>
      <c r="AE58" s="65">
        <v>4.9000000000000004</v>
      </c>
      <c r="AF58" s="65">
        <v>4.9000000000000004</v>
      </c>
      <c r="AG58" s="54">
        <v>14</v>
      </c>
      <c r="AH58" s="47">
        <f t="shared" si="2"/>
        <v>5.5</v>
      </c>
      <c r="AI58" s="48">
        <f t="shared" si="3"/>
        <v>4.9000000000000004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4.5</v>
      </c>
      <c r="N59" s="65">
        <v>4.5</v>
      </c>
      <c r="O59" s="65">
        <v>4.5</v>
      </c>
      <c r="P59" s="65">
        <v>4.5</v>
      </c>
      <c r="Q59" s="65">
        <v>4.5</v>
      </c>
      <c r="R59" s="65">
        <v>4.5</v>
      </c>
      <c r="S59" s="65">
        <v>4.5</v>
      </c>
      <c r="T59" s="65">
        <v>4.5</v>
      </c>
      <c r="U59" s="65">
        <v>4.5</v>
      </c>
      <c r="V59" s="65">
        <v>4.5</v>
      </c>
      <c r="W59" s="65">
        <v>4.5</v>
      </c>
      <c r="X59" s="65">
        <v>4.5</v>
      </c>
      <c r="Y59" s="65">
        <v>4.5</v>
      </c>
      <c r="Z59" s="65">
        <v>4.5</v>
      </c>
      <c r="AA59" s="65">
        <v>4.5</v>
      </c>
      <c r="AB59" s="65">
        <v>4.5</v>
      </c>
      <c r="AC59" s="65">
        <v>4.5</v>
      </c>
      <c r="AD59" s="65">
        <v>4.5</v>
      </c>
      <c r="AE59" s="65">
        <v>4.5</v>
      </c>
      <c r="AF59" s="65">
        <v>4.5</v>
      </c>
      <c r="AG59" s="54">
        <v>10.050000000000001</v>
      </c>
      <c r="AH59" s="47">
        <f t="shared" si="2"/>
        <v>4.5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" si="13">SUM(B49:B61)</f>
        <v>116.44000000000001</v>
      </c>
      <c r="C62" s="60">
        <f t="shared" ref="C62:AG62" si="14">SUM(C49:C61)</f>
        <v>116.04</v>
      </c>
      <c r="D62" s="60">
        <f t="shared" si="14"/>
        <v>116.34</v>
      </c>
      <c r="E62" s="60">
        <f t="shared" si="14"/>
        <v>86.840000000000018</v>
      </c>
      <c r="F62" s="60">
        <f t="shared" si="14"/>
        <v>99.84</v>
      </c>
      <c r="G62" s="60">
        <f t="shared" si="14"/>
        <v>139.63999999999996</v>
      </c>
      <c r="H62" s="60">
        <f t="shared" si="14"/>
        <v>164.63999999999996</v>
      </c>
      <c r="I62" s="60">
        <f t="shared" si="14"/>
        <v>220.13999999999996</v>
      </c>
      <c r="J62" s="60">
        <f t="shared" si="14"/>
        <v>274.24</v>
      </c>
      <c r="K62" s="60">
        <f t="shared" si="14"/>
        <v>307.34000000000003</v>
      </c>
      <c r="L62" s="60">
        <f t="shared" si="14"/>
        <v>283.84000000000003</v>
      </c>
      <c r="M62" s="60">
        <f t="shared" si="14"/>
        <v>282.34000000000003</v>
      </c>
      <c r="N62" s="60">
        <f t="shared" si="14"/>
        <v>292.73999999999995</v>
      </c>
      <c r="O62" s="60">
        <f t="shared" si="14"/>
        <v>306.33999999999997</v>
      </c>
      <c r="P62" s="60">
        <f t="shared" si="14"/>
        <v>289.03999999999996</v>
      </c>
      <c r="Q62" s="60">
        <f t="shared" si="14"/>
        <v>258.94</v>
      </c>
      <c r="R62" s="60">
        <f t="shared" si="14"/>
        <v>237.93999999999997</v>
      </c>
      <c r="S62" s="60">
        <f t="shared" si="14"/>
        <v>232.33999999999997</v>
      </c>
      <c r="T62" s="60">
        <f t="shared" si="14"/>
        <v>217.14</v>
      </c>
      <c r="U62" s="60">
        <f t="shared" si="14"/>
        <v>227.14</v>
      </c>
      <c r="V62" s="60">
        <f t="shared" si="14"/>
        <v>212.14</v>
      </c>
      <c r="W62" s="60">
        <f t="shared" si="14"/>
        <v>197.64</v>
      </c>
      <c r="X62" s="60">
        <f t="shared" si="14"/>
        <v>265.24</v>
      </c>
      <c r="Y62" s="60">
        <v>371.53999999999996</v>
      </c>
      <c r="Z62" s="60">
        <f t="shared" si="14"/>
        <v>380.34</v>
      </c>
      <c r="AA62" s="60">
        <f t="shared" si="14"/>
        <v>330.93999999999994</v>
      </c>
      <c r="AB62" s="60">
        <f t="shared" si="14"/>
        <v>293.44</v>
      </c>
      <c r="AC62" s="60">
        <f t="shared" si="14"/>
        <v>261.64000000000004</v>
      </c>
      <c r="AD62" s="60">
        <f t="shared" si="14"/>
        <v>244.83999999999997</v>
      </c>
      <c r="AE62" s="60">
        <f t="shared" si="14"/>
        <v>177.83999999999997</v>
      </c>
      <c r="AF62" s="60">
        <f t="shared" si="14"/>
        <v>99.840000000000018</v>
      </c>
      <c r="AG62" s="61">
        <f t="shared" si="14"/>
        <v>489.91</v>
      </c>
      <c r="AH62" s="47">
        <f t="shared" si="2"/>
        <v>380.34</v>
      </c>
      <c r="AI62" s="48">
        <f t="shared" si="3"/>
        <v>86.840000000000018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30</v>
      </c>
      <c r="K63" s="45">
        <v>30</v>
      </c>
      <c r="L63" s="45">
        <v>30</v>
      </c>
      <c r="M63" s="45">
        <v>30</v>
      </c>
      <c r="N63" s="45">
        <v>30</v>
      </c>
      <c r="O63" s="45">
        <v>0</v>
      </c>
      <c r="P63" s="45">
        <v>0</v>
      </c>
      <c r="Q63" s="45">
        <v>29.9</v>
      </c>
      <c r="R63" s="45">
        <v>30</v>
      </c>
      <c r="S63" s="45">
        <v>30</v>
      </c>
      <c r="T63" s="45">
        <v>50</v>
      </c>
      <c r="U63" s="45">
        <v>60</v>
      </c>
      <c r="V63" s="45">
        <v>45</v>
      </c>
      <c r="W63" s="45">
        <v>14</v>
      </c>
      <c r="X63" s="45">
        <v>10</v>
      </c>
      <c r="Y63" s="45">
        <v>20</v>
      </c>
      <c r="Z63" s="45">
        <v>30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15.6</v>
      </c>
      <c r="K64" s="65">
        <v>14.4</v>
      </c>
      <c r="L64" s="65">
        <v>14.4</v>
      </c>
      <c r="M64" s="65">
        <v>14.1</v>
      </c>
      <c r="N64" s="65">
        <v>13.6</v>
      </c>
      <c r="O64" s="65">
        <v>0</v>
      </c>
      <c r="P64" s="65">
        <v>0</v>
      </c>
      <c r="Q64" s="45">
        <v>14.3</v>
      </c>
      <c r="R64" s="45">
        <v>13.6</v>
      </c>
      <c r="S64" s="65">
        <v>14.2</v>
      </c>
      <c r="T64" s="65">
        <v>21.9</v>
      </c>
      <c r="U64" s="65">
        <v>21.9</v>
      </c>
      <c r="V64" s="65">
        <v>18</v>
      </c>
      <c r="W64" s="65">
        <v>13.8</v>
      </c>
      <c r="X64" s="65">
        <v>7.2</v>
      </c>
      <c r="Y64" s="65">
        <v>7.2</v>
      </c>
      <c r="Z64" s="65">
        <v>11.7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21.9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5.7</v>
      </c>
      <c r="K65" s="67">
        <v>5.3</v>
      </c>
      <c r="L65" s="67">
        <v>5.3</v>
      </c>
      <c r="M65" s="67">
        <v>5.0999999999999996</v>
      </c>
      <c r="N65" s="67">
        <v>5</v>
      </c>
      <c r="O65" s="67">
        <v>0</v>
      </c>
      <c r="P65" s="67">
        <v>0</v>
      </c>
      <c r="Q65" s="45">
        <v>5.2</v>
      </c>
      <c r="R65" s="45">
        <v>5</v>
      </c>
      <c r="S65" s="67">
        <v>5.2</v>
      </c>
      <c r="T65" s="67">
        <v>8</v>
      </c>
      <c r="U65" s="67">
        <v>8</v>
      </c>
      <c r="V65" s="67">
        <v>8</v>
      </c>
      <c r="W65" s="67">
        <v>5</v>
      </c>
      <c r="X65" s="67">
        <v>2.6</v>
      </c>
      <c r="Y65" s="67">
        <v>2.6</v>
      </c>
      <c r="Z65" s="67">
        <v>4.3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8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" si="15"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49.699999999999996</v>
      </c>
      <c r="M66" s="60">
        <f t="shared" ref="M66:AF66" si="16">M63+M64+M65</f>
        <v>49.2</v>
      </c>
      <c r="N66" s="60">
        <f t="shared" si="16"/>
        <v>48.6</v>
      </c>
      <c r="O66" s="60">
        <f t="shared" si="16"/>
        <v>0</v>
      </c>
      <c r="P66" s="60">
        <f t="shared" si="16"/>
        <v>0</v>
      </c>
      <c r="Q66" s="60">
        <f t="shared" si="16"/>
        <v>49.400000000000006</v>
      </c>
      <c r="R66" s="60">
        <f t="shared" si="16"/>
        <v>48.6</v>
      </c>
      <c r="S66" s="60">
        <f t="shared" si="16"/>
        <v>49.400000000000006</v>
      </c>
      <c r="T66" s="60">
        <f t="shared" si="16"/>
        <v>79.900000000000006</v>
      </c>
      <c r="U66" s="60">
        <f t="shared" si="16"/>
        <v>89.9</v>
      </c>
      <c r="V66" s="60">
        <f t="shared" si="16"/>
        <v>71</v>
      </c>
      <c r="W66" s="60">
        <f t="shared" si="16"/>
        <v>32.799999999999997</v>
      </c>
      <c r="X66" s="60">
        <f t="shared" si="16"/>
        <v>19.8</v>
      </c>
      <c r="Y66" s="60">
        <v>29.8</v>
      </c>
      <c r="Z66" s="60">
        <f t="shared" si="16"/>
        <v>46</v>
      </c>
      <c r="AA66" s="60">
        <f t="shared" si="16"/>
        <v>0</v>
      </c>
      <c r="AB66" s="60">
        <f t="shared" si="16"/>
        <v>0</v>
      </c>
      <c r="AC66" s="60">
        <f t="shared" si="16"/>
        <v>0</v>
      </c>
      <c r="AD66" s="60">
        <f t="shared" si="16"/>
        <v>0</v>
      </c>
      <c r="AE66" s="60">
        <f t="shared" si="16"/>
        <v>0</v>
      </c>
      <c r="AF66" s="60">
        <f t="shared" si="16"/>
        <v>0</v>
      </c>
      <c r="AG66" s="61">
        <f>SUM(AG63:AG65)</f>
        <v>106</v>
      </c>
      <c r="AH66" s="47">
        <f t="shared" si="2"/>
        <v>89.9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306.10000000000002</v>
      </c>
      <c r="C69" s="65">
        <v>295</v>
      </c>
      <c r="D69" s="65">
        <v>277.8</v>
      </c>
      <c r="E69" s="65">
        <v>305.89999999999998</v>
      </c>
      <c r="F69" s="65">
        <v>274</v>
      </c>
      <c r="G69" s="65">
        <v>248.8</v>
      </c>
      <c r="H69" s="65">
        <v>313</v>
      </c>
      <c r="I69" s="65">
        <v>294</v>
      </c>
      <c r="J69" s="65">
        <v>49</v>
      </c>
      <c r="K69" s="65">
        <v>25.8</v>
      </c>
      <c r="L69" s="65">
        <v>19</v>
      </c>
      <c r="M69" s="65">
        <v>25</v>
      </c>
      <c r="N69" s="65">
        <v>142</v>
      </c>
      <c r="O69" s="65">
        <v>351.8</v>
      </c>
      <c r="P69" s="65">
        <v>345.1</v>
      </c>
      <c r="Q69" s="65">
        <v>330</v>
      </c>
      <c r="R69" s="65">
        <v>335.9</v>
      </c>
      <c r="S69" s="65">
        <v>350</v>
      </c>
      <c r="T69" s="65">
        <v>346</v>
      </c>
      <c r="U69" s="65">
        <v>350</v>
      </c>
      <c r="V69" s="65">
        <v>256</v>
      </c>
      <c r="W69" s="65">
        <v>336</v>
      </c>
      <c r="X69" s="65">
        <v>336</v>
      </c>
      <c r="Y69" s="65">
        <v>335</v>
      </c>
      <c r="Z69" s="65">
        <v>210</v>
      </c>
      <c r="AA69" s="65">
        <v>270</v>
      </c>
      <c r="AB69" s="65">
        <v>343</v>
      </c>
      <c r="AC69" s="65">
        <v>343</v>
      </c>
      <c r="AD69" s="65">
        <v>326</v>
      </c>
      <c r="AE69" s="65">
        <v>318</v>
      </c>
      <c r="AF69" s="65">
        <v>326</v>
      </c>
      <c r="AG69" s="75"/>
      <c r="AH69" s="47">
        <f t="shared" si="2"/>
        <v>351.8</v>
      </c>
      <c r="AI69" s="48">
        <f t="shared" si="3"/>
        <v>19</v>
      </c>
      <c r="AK69" s="49"/>
    </row>
    <row r="70" spans="1:40" x14ac:dyDescent="0.25">
      <c r="A70" s="53" t="s">
        <v>78</v>
      </c>
      <c r="B70" s="65">
        <v>57.9</v>
      </c>
      <c r="C70" s="76">
        <v>56.3</v>
      </c>
      <c r="D70" s="76">
        <v>56.2</v>
      </c>
      <c r="E70" s="76">
        <v>53.1</v>
      </c>
      <c r="F70" s="76">
        <v>54.2</v>
      </c>
      <c r="G70" s="76">
        <v>56.4</v>
      </c>
      <c r="H70" s="76">
        <v>59.6</v>
      </c>
      <c r="I70" s="76">
        <v>61.1</v>
      </c>
      <c r="J70" s="76">
        <v>61</v>
      </c>
      <c r="K70" s="76">
        <v>53.3</v>
      </c>
      <c r="L70" s="76">
        <v>67</v>
      </c>
      <c r="M70" s="76">
        <v>59.5</v>
      </c>
      <c r="N70" s="76">
        <v>69.099999999999994</v>
      </c>
      <c r="O70" s="76">
        <v>72</v>
      </c>
      <c r="P70" s="76">
        <v>63.7</v>
      </c>
      <c r="Q70" s="76">
        <v>60.1</v>
      </c>
      <c r="R70" s="76">
        <v>67.099999999999994</v>
      </c>
      <c r="S70" s="76">
        <v>67.099999999999994</v>
      </c>
      <c r="T70" s="76">
        <v>69</v>
      </c>
      <c r="U70" s="76">
        <v>69</v>
      </c>
      <c r="V70" s="76">
        <v>69</v>
      </c>
      <c r="W70" s="76">
        <v>69</v>
      </c>
      <c r="X70" s="76">
        <v>69</v>
      </c>
      <c r="Y70" s="76">
        <v>58.8</v>
      </c>
      <c r="Z70" s="76">
        <v>61.2</v>
      </c>
      <c r="AA70" s="76">
        <v>61.2</v>
      </c>
      <c r="AB70" s="76">
        <v>56</v>
      </c>
      <c r="AC70" s="76">
        <v>56.5</v>
      </c>
      <c r="AD70" s="76">
        <v>54</v>
      </c>
      <c r="AE70" s="76">
        <v>50</v>
      </c>
      <c r="AF70" s="76">
        <v>49</v>
      </c>
      <c r="AG70" s="75"/>
      <c r="AH70" s="47">
        <f t="shared" si="2"/>
        <v>72</v>
      </c>
      <c r="AI70" s="48">
        <f t="shared" si="3"/>
        <v>49</v>
      </c>
      <c r="AK70" s="49"/>
    </row>
    <row r="71" spans="1:40" x14ac:dyDescent="0.25">
      <c r="A71" s="53" t="s">
        <v>79</v>
      </c>
      <c r="B71" s="45">
        <v>84</v>
      </c>
      <c r="C71" s="45">
        <v>82.6</v>
      </c>
      <c r="D71" s="45">
        <v>84</v>
      </c>
      <c r="E71" s="45">
        <v>75</v>
      </c>
      <c r="F71" s="45">
        <v>73</v>
      </c>
      <c r="G71" s="45">
        <v>74</v>
      </c>
      <c r="H71" s="45">
        <v>74</v>
      </c>
      <c r="I71" s="45">
        <v>72</v>
      </c>
      <c r="J71" s="45">
        <v>75</v>
      </c>
      <c r="K71" s="45">
        <v>72</v>
      </c>
      <c r="L71" s="45">
        <v>50</v>
      </c>
      <c r="M71" s="45">
        <v>65</v>
      </c>
      <c r="N71" s="45">
        <v>75</v>
      </c>
      <c r="O71" s="45">
        <v>80</v>
      </c>
      <c r="P71" s="45">
        <v>80</v>
      </c>
      <c r="Q71" s="45">
        <v>75</v>
      </c>
      <c r="R71" s="45">
        <v>70</v>
      </c>
      <c r="S71" s="45">
        <v>70</v>
      </c>
      <c r="T71" s="45">
        <v>62</v>
      </c>
      <c r="U71" s="45">
        <v>62</v>
      </c>
      <c r="V71" s="45">
        <v>62</v>
      </c>
      <c r="W71" s="45">
        <v>62</v>
      </c>
      <c r="X71" s="45">
        <v>62</v>
      </c>
      <c r="Y71" s="45">
        <v>62</v>
      </c>
      <c r="Z71" s="45">
        <v>62</v>
      </c>
      <c r="AA71" s="45">
        <v>62</v>
      </c>
      <c r="AB71" s="45">
        <v>82</v>
      </c>
      <c r="AC71" s="45">
        <v>90</v>
      </c>
      <c r="AD71" s="45">
        <v>60</v>
      </c>
      <c r="AE71" s="45">
        <v>79</v>
      </c>
      <c r="AF71" s="45">
        <v>79</v>
      </c>
      <c r="AG71" s="75"/>
      <c r="AH71" s="47">
        <f t="shared" si="2"/>
        <v>90</v>
      </c>
      <c r="AI71" s="48">
        <f t="shared" si="3"/>
        <v>50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7">MAX(B75:AF75)</f>
        <v>0</v>
      </c>
      <c r="AI75" s="48">
        <f t="shared" ref="AI75:AI113" si="18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7"/>
        <v>0</v>
      </c>
      <c r="AI76" s="48">
        <f t="shared" si="18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7"/>
        <v>0</v>
      </c>
      <c r="AI77" s="48">
        <f t="shared" si="18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" si="19">SUMIF(B67:B77,"&gt;0")</f>
        <v>453</v>
      </c>
      <c r="C78" s="60">
        <f t="shared" ref="C78:AF78" si="20">SUMIF(C67:C77,"&gt;0")</f>
        <v>438.9</v>
      </c>
      <c r="D78" s="60">
        <f t="shared" si="20"/>
        <v>423</v>
      </c>
      <c r="E78" s="60">
        <f t="shared" si="20"/>
        <v>439</v>
      </c>
      <c r="F78" s="60">
        <f t="shared" si="20"/>
        <v>406.2</v>
      </c>
      <c r="G78" s="60">
        <f t="shared" si="20"/>
        <v>384.2</v>
      </c>
      <c r="H78" s="60">
        <f t="shared" si="20"/>
        <v>451.6</v>
      </c>
      <c r="I78" s="60">
        <f t="shared" si="20"/>
        <v>432.1</v>
      </c>
      <c r="J78" s="60">
        <f t="shared" si="20"/>
        <v>190</v>
      </c>
      <c r="K78" s="60">
        <f t="shared" si="20"/>
        <v>156.1</v>
      </c>
      <c r="L78" s="60">
        <f t="shared" si="20"/>
        <v>141</v>
      </c>
      <c r="M78" s="60">
        <f t="shared" si="20"/>
        <v>154.5</v>
      </c>
      <c r="N78" s="60">
        <f t="shared" si="20"/>
        <v>291.10000000000002</v>
      </c>
      <c r="O78" s="60">
        <f t="shared" si="20"/>
        <v>508.8</v>
      </c>
      <c r="P78" s="60">
        <f t="shared" si="20"/>
        <v>493.8</v>
      </c>
      <c r="Q78" s="60">
        <f t="shared" si="20"/>
        <v>470.1</v>
      </c>
      <c r="R78" s="60">
        <f t="shared" si="20"/>
        <v>478</v>
      </c>
      <c r="S78" s="60">
        <f t="shared" si="20"/>
        <v>492.1</v>
      </c>
      <c r="T78" s="60">
        <f t="shared" si="20"/>
        <v>482</v>
      </c>
      <c r="U78" s="60">
        <f t="shared" si="20"/>
        <v>486</v>
      </c>
      <c r="V78" s="60">
        <f t="shared" si="20"/>
        <v>392</v>
      </c>
      <c r="W78" s="60">
        <f t="shared" si="20"/>
        <v>472</v>
      </c>
      <c r="X78" s="60">
        <f t="shared" si="20"/>
        <v>472</v>
      </c>
      <c r="Y78" s="60">
        <v>460.8</v>
      </c>
      <c r="Z78" s="60">
        <f t="shared" si="20"/>
        <v>338.2</v>
      </c>
      <c r="AA78" s="60">
        <f t="shared" si="20"/>
        <v>398.2</v>
      </c>
      <c r="AB78" s="60">
        <f t="shared" si="20"/>
        <v>486</v>
      </c>
      <c r="AC78" s="60">
        <f t="shared" si="20"/>
        <v>494.5</v>
      </c>
      <c r="AD78" s="60">
        <f t="shared" si="20"/>
        <v>445</v>
      </c>
      <c r="AE78" s="60">
        <f t="shared" si="20"/>
        <v>452</v>
      </c>
      <c r="AF78" s="60">
        <f t="shared" si="20"/>
        <v>459</v>
      </c>
      <c r="AG78" s="88">
        <f>SUM(AG67:AG77)</f>
        <v>0</v>
      </c>
      <c r="AH78" s="47">
        <f t="shared" si="17"/>
        <v>508.8</v>
      </c>
      <c r="AI78" s="48">
        <f t="shared" si="18"/>
        <v>141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7"/>
        <v>0</v>
      </c>
      <c r="AI79" s="48">
        <f t="shared" si="18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7"/>
        <v>0</v>
      </c>
      <c r="AI80" s="48">
        <f t="shared" si="18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7"/>
        <v>0</v>
      </c>
      <c r="AI81" s="48">
        <f t="shared" si="18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7"/>
        <v>0</v>
      </c>
      <c r="AI82" s="48">
        <f t="shared" si="18"/>
        <v>0</v>
      </c>
    </row>
    <row r="83" spans="1:37" ht="15.75" thickBot="1" x14ac:dyDescent="0.3">
      <c r="A83" s="74" t="s">
        <v>94</v>
      </c>
      <c r="B83" s="95">
        <f t="shared" ref="B83" si="21">B44+B48+B66+B62+B78+B82</f>
        <v>967.94</v>
      </c>
      <c r="C83" s="95">
        <f t="shared" ref="C83:AG83" si="22">C44+C48+C66+C62+C78+C82</f>
        <v>953.43999999999994</v>
      </c>
      <c r="D83" s="95">
        <f t="shared" si="22"/>
        <v>937.84</v>
      </c>
      <c r="E83" s="95">
        <f t="shared" si="22"/>
        <v>924.34</v>
      </c>
      <c r="F83" s="95">
        <f t="shared" si="22"/>
        <v>944.54</v>
      </c>
      <c r="G83" s="95">
        <f t="shared" si="22"/>
        <v>987.33999999999992</v>
      </c>
      <c r="H83" s="95">
        <f t="shared" si="22"/>
        <v>1089.94</v>
      </c>
      <c r="I83" s="95">
        <f t="shared" si="22"/>
        <v>1110.94</v>
      </c>
      <c r="J83" s="95">
        <f t="shared" si="22"/>
        <v>1187.94</v>
      </c>
      <c r="K83" s="95">
        <f t="shared" si="22"/>
        <v>1187.1399999999999</v>
      </c>
      <c r="L83" s="95">
        <f t="shared" si="22"/>
        <v>1233.2400000000002</v>
      </c>
      <c r="M83" s="95">
        <f t="shared" si="22"/>
        <v>1223.44</v>
      </c>
      <c r="N83" s="95">
        <f t="shared" si="22"/>
        <v>1179.8400000000001</v>
      </c>
      <c r="O83" s="95">
        <f t="shared" si="22"/>
        <v>1211.54</v>
      </c>
      <c r="P83" s="95">
        <f t="shared" si="22"/>
        <v>1179.24</v>
      </c>
      <c r="Q83" s="95">
        <f t="shared" si="22"/>
        <v>1189.8400000000001</v>
      </c>
      <c r="R83" s="95">
        <f t="shared" si="22"/>
        <v>1191.6399999999999</v>
      </c>
      <c r="S83" s="95">
        <f t="shared" si="22"/>
        <v>1199.6399999999999</v>
      </c>
      <c r="T83" s="95">
        <f t="shared" si="22"/>
        <v>1242.8400000000001</v>
      </c>
      <c r="U83" s="95">
        <f t="shared" si="22"/>
        <v>1266.8400000000001</v>
      </c>
      <c r="V83" s="95">
        <f t="shared" si="22"/>
        <v>1138.94</v>
      </c>
      <c r="W83" s="95">
        <f t="shared" si="22"/>
        <v>1156.24</v>
      </c>
      <c r="X83" s="95">
        <f t="shared" si="22"/>
        <v>1228.8400000000001</v>
      </c>
      <c r="Y83" s="95">
        <v>1334.1399999999999</v>
      </c>
      <c r="Z83" s="95">
        <f t="shared" si="22"/>
        <v>1313.14</v>
      </c>
      <c r="AA83" s="95">
        <f t="shared" si="22"/>
        <v>1277.74</v>
      </c>
      <c r="AB83" s="95">
        <f t="shared" si="22"/>
        <v>1193.04</v>
      </c>
      <c r="AC83" s="95">
        <f t="shared" si="22"/>
        <v>1169.6400000000001</v>
      </c>
      <c r="AD83" s="95">
        <f t="shared" si="22"/>
        <v>1103.3399999999999</v>
      </c>
      <c r="AE83" s="95">
        <f t="shared" si="22"/>
        <v>1063.3399999999999</v>
      </c>
      <c r="AF83" s="95">
        <f t="shared" si="22"/>
        <v>992.34</v>
      </c>
      <c r="AG83" s="61">
        <f t="shared" si="22"/>
        <v>2004.1900000000003</v>
      </c>
      <c r="AH83" s="47">
        <f>MAX(B83:AF83)</f>
        <v>1334.1399999999999</v>
      </c>
      <c r="AI83" s="48">
        <f>MIN(B83:AF83)</f>
        <v>924.34</v>
      </c>
    </row>
    <row r="84" spans="1:37" ht="15.75" thickBot="1" x14ac:dyDescent="0.3">
      <c r="A84" s="96" t="s">
        <v>95</v>
      </c>
      <c r="B84" s="97">
        <v>70</v>
      </c>
      <c r="C84" s="97">
        <v>70</v>
      </c>
      <c r="D84" s="97">
        <v>70</v>
      </c>
      <c r="E84" s="97">
        <v>70</v>
      </c>
      <c r="F84" s="97">
        <v>70</v>
      </c>
      <c r="G84" s="97">
        <v>70</v>
      </c>
      <c r="H84" s="97">
        <v>70</v>
      </c>
      <c r="I84" s="97">
        <v>70</v>
      </c>
      <c r="J84" s="97">
        <v>70</v>
      </c>
      <c r="K84" s="97">
        <v>150</v>
      </c>
      <c r="L84" s="97">
        <v>180</v>
      </c>
      <c r="M84" s="97">
        <v>180</v>
      </c>
      <c r="N84" s="97">
        <v>160</v>
      </c>
      <c r="O84" s="97">
        <v>120</v>
      </c>
      <c r="P84" s="97">
        <v>100</v>
      </c>
      <c r="Q84" s="97"/>
      <c r="R84" s="97"/>
      <c r="S84" s="97">
        <v>70</v>
      </c>
      <c r="T84" s="97">
        <v>70</v>
      </c>
      <c r="U84" s="97">
        <v>70</v>
      </c>
      <c r="V84" s="97">
        <v>70</v>
      </c>
      <c r="W84" s="97">
        <v>150</v>
      </c>
      <c r="X84" s="97">
        <v>150</v>
      </c>
      <c r="Y84" s="97">
        <v>160</v>
      </c>
      <c r="Z84" s="97">
        <v>160</v>
      </c>
      <c r="AA84" s="97">
        <v>140</v>
      </c>
      <c r="AB84" s="97">
        <v>140</v>
      </c>
      <c r="AC84" s="97">
        <v>140</v>
      </c>
      <c r="AD84" s="97"/>
      <c r="AE84" s="97"/>
      <c r="AF84" s="97"/>
      <c r="AG84" s="88"/>
      <c r="AH84" s="47">
        <f t="shared" si="17"/>
        <v>180</v>
      </c>
      <c r="AI84" s="48">
        <f t="shared" si="18"/>
        <v>70</v>
      </c>
    </row>
    <row r="85" spans="1:37" ht="15.75" thickBot="1" x14ac:dyDescent="0.3">
      <c r="A85" s="74" t="s">
        <v>96</v>
      </c>
      <c r="B85" s="95">
        <f t="shared" ref="B85" si="23">B83+B84</f>
        <v>1037.94</v>
      </c>
      <c r="C85" s="95">
        <f t="shared" ref="C85:AF85" si="24">C83+C84</f>
        <v>1023.4399999999999</v>
      </c>
      <c r="D85" s="95">
        <f t="shared" si="24"/>
        <v>1007.84</v>
      </c>
      <c r="E85" s="95">
        <f t="shared" si="24"/>
        <v>994.34</v>
      </c>
      <c r="F85" s="95">
        <f t="shared" si="24"/>
        <v>1014.54</v>
      </c>
      <c r="G85" s="95">
        <f t="shared" si="24"/>
        <v>1057.3399999999999</v>
      </c>
      <c r="H85" s="95">
        <f t="shared" si="24"/>
        <v>1159.94</v>
      </c>
      <c r="I85" s="95">
        <f t="shared" si="24"/>
        <v>1180.94</v>
      </c>
      <c r="J85" s="95">
        <f t="shared" si="24"/>
        <v>1257.94</v>
      </c>
      <c r="K85" s="95">
        <f t="shared" si="24"/>
        <v>1337.1399999999999</v>
      </c>
      <c r="L85" s="95">
        <f t="shared" si="24"/>
        <v>1413.2400000000002</v>
      </c>
      <c r="M85" s="95">
        <f t="shared" si="24"/>
        <v>1403.44</v>
      </c>
      <c r="N85" s="95">
        <f t="shared" si="24"/>
        <v>1339.8400000000001</v>
      </c>
      <c r="O85" s="95">
        <f t="shared" si="24"/>
        <v>1331.54</v>
      </c>
      <c r="P85" s="95">
        <f t="shared" si="24"/>
        <v>1279.24</v>
      </c>
      <c r="Q85" s="95">
        <f t="shared" si="24"/>
        <v>1189.8400000000001</v>
      </c>
      <c r="R85" s="95">
        <f t="shared" si="24"/>
        <v>1191.6399999999999</v>
      </c>
      <c r="S85" s="95">
        <f t="shared" si="24"/>
        <v>1269.6399999999999</v>
      </c>
      <c r="T85" s="95">
        <f t="shared" si="24"/>
        <v>1312.8400000000001</v>
      </c>
      <c r="U85" s="95">
        <f t="shared" si="24"/>
        <v>1336.8400000000001</v>
      </c>
      <c r="V85" s="95">
        <f t="shared" si="24"/>
        <v>1208.94</v>
      </c>
      <c r="W85" s="95">
        <f t="shared" si="24"/>
        <v>1306.24</v>
      </c>
      <c r="X85" s="95">
        <f t="shared" si="24"/>
        <v>1378.8400000000001</v>
      </c>
      <c r="Y85" s="95">
        <v>1494.1399999999999</v>
      </c>
      <c r="Z85" s="95">
        <f t="shared" si="24"/>
        <v>1473.14</v>
      </c>
      <c r="AA85" s="95">
        <f t="shared" si="24"/>
        <v>1417.74</v>
      </c>
      <c r="AB85" s="95">
        <f t="shared" si="24"/>
        <v>1333.04</v>
      </c>
      <c r="AC85" s="95">
        <f t="shared" si="24"/>
        <v>1309.6400000000001</v>
      </c>
      <c r="AD85" s="95">
        <f t="shared" si="24"/>
        <v>1103.3399999999999</v>
      </c>
      <c r="AE85" s="95">
        <f t="shared" si="24"/>
        <v>1063.3399999999999</v>
      </c>
      <c r="AF85" s="95">
        <f t="shared" si="24"/>
        <v>992.34</v>
      </c>
      <c r="AG85" s="88">
        <f>AG82+AG78+AG66+AG62+AG44+AG84</f>
        <v>1466.0900000000001</v>
      </c>
      <c r="AH85" s="47">
        <f t="shared" si="17"/>
        <v>1494.1399999999999</v>
      </c>
      <c r="AI85" s="48">
        <f t="shared" si="18"/>
        <v>992.34</v>
      </c>
    </row>
    <row r="86" spans="1:37" ht="15.75" thickBot="1" x14ac:dyDescent="0.3">
      <c r="A86" s="74" t="s">
        <v>97</v>
      </c>
      <c r="B86" s="95">
        <f t="shared" ref="B86" si="25">B85-B93</f>
        <v>1037.94</v>
      </c>
      <c r="C86" s="95">
        <f t="shared" ref="C86:AF86" si="26">C85-C93</f>
        <v>1023.4399999999999</v>
      </c>
      <c r="D86" s="95">
        <f t="shared" si="26"/>
        <v>1007.84</v>
      </c>
      <c r="E86" s="95">
        <f t="shared" si="26"/>
        <v>994.34</v>
      </c>
      <c r="F86" s="95">
        <f t="shared" si="26"/>
        <v>1014.54</v>
      </c>
      <c r="G86" s="95">
        <f t="shared" si="26"/>
        <v>1057.3399999999999</v>
      </c>
      <c r="H86" s="95">
        <f t="shared" si="26"/>
        <v>1159.94</v>
      </c>
      <c r="I86" s="95">
        <f t="shared" si="26"/>
        <v>1180.94</v>
      </c>
      <c r="J86" s="95">
        <f t="shared" si="26"/>
        <v>1257.94</v>
      </c>
      <c r="K86" s="95">
        <f t="shared" si="26"/>
        <v>1337.1399999999999</v>
      </c>
      <c r="L86" s="95">
        <f t="shared" si="26"/>
        <v>1413.2400000000002</v>
      </c>
      <c r="M86" s="95">
        <f t="shared" si="26"/>
        <v>1403.44</v>
      </c>
      <c r="N86" s="95">
        <f t="shared" si="26"/>
        <v>1339.8400000000001</v>
      </c>
      <c r="O86" s="95">
        <f t="shared" si="26"/>
        <v>1331.54</v>
      </c>
      <c r="P86" s="95">
        <f t="shared" si="26"/>
        <v>1279.24</v>
      </c>
      <c r="Q86" s="95">
        <f t="shared" si="26"/>
        <v>1189.8400000000001</v>
      </c>
      <c r="R86" s="95">
        <f t="shared" si="26"/>
        <v>1191.6399999999999</v>
      </c>
      <c r="S86" s="95">
        <f t="shared" si="26"/>
        <v>1269.6399999999999</v>
      </c>
      <c r="T86" s="95">
        <f t="shared" si="26"/>
        <v>1312.8400000000001</v>
      </c>
      <c r="U86" s="95">
        <f t="shared" si="26"/>
        <v>1336.8400000000001</v>
      </c>
      <c r="V86" s="95">
        <f t="shared" si="26"/>
        <v>1208.94</v>
      </c>
      <c r="W86" s="95">
        <f t="shared" si="26"/>
        <v>1306.24</v>
      </c>
      <c r="X86" s="95">
        <f t="shared" si="26"/>
        <v>1378.8400000000001</v>
      </c>
      <c r="Y86" s="95">
        <v>1494.1399999999999</v>
      </c>
      <c r="Z86" s="95">
        <f t="shared" si="26"/>
        <v>1473.14</v>
      </c>
      <c r="AA86" s="95">
        <f t="shared" si="26"/>
        <v>1417.74</v>
      </c>
      <c r="AB86" s="95">
        <f t="shared" si="26"/>
        <v>1333.04</v>
      </c>
      <c r="AC86" s="95">
        <f t="shared" si="26"/>
        <v>1309.6400000000001</v>
      </c>
      <c r="AD86" s="95">
        <f t="shared" si="26"/>
        <v>1103.3399999999999</v>
      </c>
      <c r="AE86" s="95">
        <f t="shared" si="26"/>
        <v>1063.3399999999999</v>
      </c>
      <c r="AF86" s="95">
        <f t="shared" si="26"/>
        <v>992.34</v>
      </c>
      <c r="AG86" s="88"/>
      <c r="AH86" s="47">
        <f t="shared" si="17"/>
        <v>1494.1399999999999</v>
      </c>
      <c r="AI86" s="48">
        <f t="shared" si="18"/>
        <v>992.34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7"/>
        <v>0</v>
      </c>
      <c r="AI87" s="48">
        <f t="shared" si="18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7"/>
        <v>0</v>
      </c>
      <c r="AI88" s="48">
        <f t="shared" si="18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7"/>
        <v>0</v>
      </c>
      <c r="AI89" s="48">
        <f t="shared" si="18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7"/>
        <v>0</v>
      </c>
      <c r="AI90" s="48">
        <f t="shared" si="18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7"/>
        <v>0</v>
      </c>
      <c r="AI91" s="48">
        <f t="shared" si="18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7"/>
        <v>0</v>
      </c>
      <c r="AI92" s="48">
        <f t="shared" si="18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7"/>
        <v>0</v>
      </c>
      <c r="AI93" s="48">
        <f t="shared" si="18"/>
        <v>0</v>
      </c>
      <c r="AK93" s="49"/>
    </row>
    <row r="94" spans="1:37" ht="15.75" thickBot="1" x14ac:dyDescent="0.3">
      <c r="A94" s="74" t="s">
        <v>102</v>
      </c>
      <c r="B94" s="60">
        <f t="shared" ref="B94" si="27">B78-B93</f>
        <v>453</v>
      </c>
      <c r="C94" s="60">
        <f t="shared" ref="C94:AF94" si="28">C78-C93</f>
        <v>438.9</v>
      </c>
      <c r="D94" s="60">
        <f t="shared" si="28"/>
        <v>423</v>
      </c>
      <c r="E94" s="60">
        <f t="shared" si="28"/>
        <v>439</v>
      </c>
      <c r="F94" s="60">
        <f t="shared" si="28"/>
        <v>406.2</v>
      </c>
      <c r="G94" s="60">
        <f t="shared" si="28"/>
        <v>384.2</v>
      </c>
      <c r="H94" s="60">
        <f t="shared" si="28"/>
        <v>451.6</v>
      </c>
      <c r="I94" s="60">
        <f t="shared" si="28"/>
        <v>432.1</v>
      </c>
      <c r="J94" s="60">
        <f t="shared" si="28"/>
        <v>190</v>
      </c>
      <c r="K94" s="60">
        <f t="shared" si="28"/>
        <v>156.1</v>
      </c>
      <c r="L94" s="60">
        <f t="shared" si="28"/>
        <v>141</v>
      </c>
      <c r="M94" s="60">
        <f t="shared" si="28"/>
        <v>154.5</v>
      </c>
      <c r="N94" s="60">
        <f t="shared" si="28"/>
        <v>291.10000000000002</v>
      </c>
      <c r="O94" s="60">
        <f t="shared" si="28"/>
        <v>508.8</v>
      </c>
      <c r="P94" s="60">
        <f t="shared" si="28"/>
        <v>493.8</v>
      </c>
      <c r="Q94" s="60">
        <f t="shared" si="28"/>
        <v>470.1</v>
      </c>
      <c r="R94" s="60">
        <f t="shared" si="28"/>
        <v>478</v>
      </c>
      <c r="S94" s="60">
        <f t="shared" si="28"/>
        <v>492.1</v>
      </c>
      <c r="T94" s="60">
        <f t="shared" si="28"/>
        <v>482</v>
      </c>
      <c r="U94" s="60">
        <f t="shared" si="28"/>
        <v>486</v>
      </c>
      <c r="V94" s="60">
        <f t="shared" si="28"/>
        <v>392</v>
      </c>
      <c r="W94" s="60">
        <f t="shared" si="28"/>
        <v>472</v>
      </c>
      <c r="X94" s="60">
        <f t="shared" si="28"/>
        <v>472</v>
      </c>
      <c r="Y94" s="60">
        <v>460.8</v>
      </c>
      <c r="Z94" s="60">
        <f t="shared" si="28"/>
        <v>338.2</v>
      </c>
      <c r="AA94" s="60">
        <f t="shared" si="28"/>
        <v>398.2</v>
      </c>
      <c r="AB94" s="60">
        <f t="shared" si="28"/>
        <v>486</v>
      </c>
      <c r="AC94" s="60">
        <f t="shared" si="28"/>
        <v>494.5</v>
      </c>
      <c r="AD94" s="60">
        <f t="shared" si="28"/>
        <v>445</v>
      </c>
      <c r="AE94" s="60">
        <f t="shared" si="28"/>
        <v>452</v>
      </c>
      <c r="AF94" s="60">
        <f t="shared" si="28"/>
        <v>459</v>
      </c>
      <c r="AG94" s="88"/>
      <c r="AH94" s="47">
        <f t="shared" si="17"/>
        <v>508.8</v>
      </c>
      <c r="AI94" s="48">
        <f t="shared" si="18"/>
        <v>141</v>
      </c>
    </row>
    <row r="95" spans="1:37" x14ac:dyDescent="0.25">
      <c r="A95" s="100" t="s">
        <v>103</v>
      </c>
      <c r="B95" s="101">
        <v>50.039000000000001</v>
      </c>
      <c r="C95" s="101">
        <v>49.978999999999999</v>
      </c>
      <c r="D95" s="101">
        <v>49.932000000000002</v>
      </c>
      <c r="E95" s="101">
        <v>49.966000000000001</v>
      </c>
      <c r="F95" s="101">
        <v>49.947000000000003</v>
      </c>
      <c r="G95" s="101">
        <v>49.996000000000002</v>
      </c>
      <c r="H95" s="101">
        <v>49.99</v>
      </c>
      <c r="I95" s="101">
        <v>50</v>
      </c>
      <c r="J95" s="101">
        <v>49.927</v>
      </c>
      <c r="K95" s="101">
        <v>49.933</v>
      </c>
      <c r="L95" s="101">
        <v>49.843000000000004</v>
      </c>
      <c r="M95" s="101">
        <v>50.05</v>
      </c>
      <c r="N95" s="101">
        <v>49.975999999999999</v>
      </c>
      <c r="O95" s="101">
        <v>49.926000000000002</v>
      </c>
      <c r="P95" s="101">
        <v>50.048999999999999</v>
      </c>
      <c r="Q95" s="101">
        <v>50.042000000000002</v>
      </c>
      <c r="R95" s="101">
        <v>49.9</v>
      </c>
      <c r="S95" s="101">
        <v>50.01</v>
      </c>
      <c r="T95" s="101">
        <v>49.87</v>
      </c>
      <c r="U95" s="101">
        <v>49.89</v>
      </c>
      <c r="V95" s="101">
        <v>50.18</v>
      </c>
      <c r="W95" s="101">
        <v>50.12</v>
      </c>
      <c r="X95" s="101">
        <v>50.01</v>
      </c>
      <c r="Y95" s="101">
        <v>49.92</v>
      </c>
      <c r="Z95" s="101">
        <v>49.95</v>
      </c>
      <c r="AA95" s="101">
        <v>49.95</v>
      </c>
      <c r="AB95" s="101">
        <v>50.225999999999999</v>
      </c>
      <c r="AC95" s="101">
        <v>50.103000000000002</v>
      </c>
      <c r="AD95" s="101">
        <v>49.987000000000002</v>
      </c>
      <c r="AE95" s="101">
        <v>50.031999999999996</v>
      </c>
      <c r="AF95" s="101">
        <v>49.926000000000002</v>
      </c>
      <c r="AG95" s="102"/>
      <c r="AH95" s="47">
        <f t="shared" si="17"/>
        <v>50.225999999999999</v>
      </c>
      <c r="AI95" s="48">
        <f t="shared" si="18"/>
        <v>49.843000000000004</v>
      </c>
    </row>
    <row r="96" spans="1:37" x14ac:dyDescent="0.25">
      <c r="A96" s="103" t="s">
        <v>104</v>
      </c>
      <c r="B96" s="65">
        <v>129.9</v>
      </c>
      <c r="C96" s="65">
        <v>131.1</v>
      </c>
      <c r="D96" s="65">
        <v>130.19999999999999</v>
      </c>
      <c r="E96" s="65">
        <v>130.19999999999999</v>
      </c>
      <c r="F96" s="65">
        <v>130.19999999999999</v>
      </c>
      <c r="G96" s="65">
        <v>130.19999999999999</v>
      </c>
      <c r="H96" s="65">
        <v>127.9</v>
      </c>
      <c r="I96" s="65">
        <v>127.9</v>
      </c>
      <c r="J96" s="65">
        <v>128.6</v>
      </c>
      <c r="K96" s="65">
        <v>128.6</v>
      </c>
      <c r="L96" s="65">
        <v>127.5</v>
      </c>
      <c r="M96" s="65">
        <v>127.2</v>
      </c>
      <c r="N96" s="65">
        <v>128.5</v>
      </c>
      <c r="O96" s="65">
        <v>127.1</v>
      </c>
      <c r="P96" s="65">
        <v>126.5</v>
      </c>
      <c r="Q96" s="65">
        <v>128</v>
      </c>
      <c r="R96" s="65">
        <v>125.9</v>
      </c>
      <c r="S96" s="65">
        <v>125.8</v>
      </c>
      <c r="T96" s="65">
        <v>127.5</v>
      </c>
      <c r="U96" s="65">
        <v>127.2</v>
      </c>
      <c r="V96" s="65">
        <v>128</v>
      </c>
      <c r="W96" s="65">
        <v>128.80000000000001</v>
      </c>
      <c r="X96" s="65">
        <v>128.4</v>
      </c>
      <c r="Y96" s="65">
        <v>129.19999999999999</v>
      </c>
      <c r="Z96" s="65">
        <v>129.4</v>
      </c>
      <c r="AA96" s="65">
        <v>129.80000000000001</v>
      </c>
      <c r="AB96" s="65">
        <v>129.30000000000001</v>
      </c>
      <c r="AC96" s="65">
        <v>130</v>
      </c>
      <c r="AD96" s="65">
        <v>130.19999999999999</v>
      </c>
      <c r="AE96" s="65">
        <v>130.5</v>
      </c>
      <c r="AF96" s="65">
        <v>127.8</v>
      </c>
      <c r="AG96" s="104"/>
      <c r="AH96" s="47">
        <f t="shared" si="17"/>
        <v>131.1</v>
      </c>
      <c r="AI96" s="48">
        <f t="shared" si="18"/>
        <v>125.8</v>
      </c>
    </row>
    <row r="97" spans="1:35" x14ac:dyDescent="0.25">
      <c r="A97" s="103" t="s">
        <v>105</v>
      </c>
      <c r="B97" s="65">
        <v>132.80000000000001</v>
      </c>
      <c r="C97" s="65">
        <v>133.69999999999999</v>
      </c>
      <c r="D97" s="65">
        <v>133</v>
      </c>
      <c r="E97" s="65">
        <v>133</v>
      </c>
      <c r="F97" s="65">
        <v>133</v>
      </c>
      <c r="G97" s="65">
        <v>133</v>
      </c>
      <c r="H97" s="65">
        <v>130.69999999999999</v>
      </c>
      <c r="I97" s="65">
        <v>130.69999999999999</v>
      </c>
      <c r="J97" s="65">
        <v>130</v>
      </c>
      <c r="K97" s="65">
        <v>130</v>
      </c>
      <c r="L97" s="65">
        <v>129.69999999999999</v>
      </c>
      <c r="M97" s="65">
        <v>129.5</v>
      </c>
      <c r="N97" s="65">
        <v>130.6</v>
      </c>
      <c r="O97" s="65">
        <v>129.9</v>
      </c>
      <c r="P97" s="65">
        <v>129.1</v>
      </c>
      <c r="Q97" s="65">
        <v>131.30000000000001</v>
      </c>
      <c r="R97" s="65">
        <v>128.80000000000001</v>
      </c>
      <c r="S97" s="65">
        <v>128.80000000000001</v>
      </c>
      <c r="T97" s="65">
        <v>130</v>
      </c>
      <c r="U97" s="65">
        <v>129.69999999999999</v>
      </c>
      <c r="V97" s="65">
        <v>130</v>
      </c>
      <c r="W97" s="65">
        <v>130.69999999999999</v>
      </c>
      <c r="X97" s="65">
        <v>130.30000000000001</v>
      </c>
      <c r="Y97" s="65">
        <v>130.5</v>
      </c>
      <c r="Z97" s="65">
        <v>130.9</v>
      </c>
      <c r="AA97" s="65">
        <v>131.6</v>
      </c>
      <c r="AB97" s="65">
        <v>131.5</v>
      </c>
      <c r="AC97" s="65">
        <v>132.19999999999999</v>
      </c>
      <c r="AD97" s="65">
        <v>132.6</v>
      </c>
      <c r="AE97" s="65">
        <v>133.19999999999999</v>
      </c>
      <c r="AF97" s="65">
        <v>131.1</v>
      </c>
      <c r="AG97" s="104"/>
      <c r="AH97" s="47">
        <f t="shared" si="17"/>
        <v>133.69999999999999</v>
      </c>
      <c r="AI97" s="48">
        <f t="shared" si="18"/>
        <v>128.80000000000001</v>
      </c>
    </row>
    <row r="98" spans="1:35" x14ac:dyDescent="0.25">
      <c r="A98" s="103" t="s">
        <v>106</v>
      </c>
      <c r="B98" s="65">
        <v>131.30000000000001</v>
      </c>
      <c r="C98" s="65">
        <v>132.5</v>
      </c>
      <c r="D98" s="65">
        <v>132.1</v>
      </c>
      <c r="E98" s="65">
        <v>132.1</v>
      </c>
      <c r="F98" s="65">
        <v>132.1</v>
      </c>
      <c r="G98" s="65">
        <v>132.1</v>
      </c>
      <c r="H98" s="65">
        <v>127.9</v>
      </c>
      <c r="I98" s="65">
        <v>127.9</v>
      </c>
      <c r="J98" s="65">
        <v>129</v>
      </c>
      <c r="K98" s="65">
        <v>129</v>
      </c>
      <c r="L98" s="65">
        <v>128.69999999999999</v>
      </c>
      <c r="M98" s="65">
        <v>130.5</v>
      </c>
      <c r="N98" s="65">
        <v>131.1</v>
      </c>
      <c r="O98" s="65">
        <v>127.6</v>
      </c>
      <c r="P98" s="65">
        <v>128.19999999999999</v>
      </c>
      <c r="Q98" s="65">
        <v>128.4</v>
      </c>
      <c r="R98" s="65">
        <v>129</v>
      </c>
      <c r="S98" s="65">
        <v>127.7</v>
      </c>
      <c r="T98" s="65">
        <v>129</v>
      </c>
      <c r="U98" s="65">
        <v>129.9</v>
      </c>
      <c r="V98" s="65">
        <v>130.19999999999999</v>
      </c>
      <c r="W98" s="65">
        <v>131.80000000000001</v>
      </c>
      <c r="X98" s="65">
        <v>129.5</v>
      </c>
      <c r="Y98" s="65">
        <v>131.9</v>
      </c>
      <c r="Z98" s="65">
        <v>131.6</v>
      </c>
      <c r="AA98" s="65">
        <v>133</v>
      </c>
      <c r="AB98" s="65">
        <v>131</v>
      </c>
      <c r="AC98" s="65">
        <v>129.69999999999999</v>
      </c>
      <c r="AD98" s="65">
        <v>127.7</v>
      </c>
      <c r="AE98" s="65">
        <v>129.19999999999999</v>
      </c>
      <c r="AF98" s="65">
        <v>127.3</v>
      </c>
      <c r="AG98" s="104"/>
      <c r="AH98" s="47">
        <f t="shared" si="17"/>
        <v>133</v>
      </c>
      <c r="AI98" s="48">
        <f t="shared" si="18"/>
        <v>127.3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7"/>
        <v>0</v>
      </c>
      <c r="AI99" s="48">
        <f t="shared" si="18"/>
        <v>0</v>
      </c>
    </row>
    <row r="100" spans="1:35" x14ac:dyDescent="0.25">
      <c r="A100" s="105" t="s">
        <v>108</v>
      </c>
      <c r="B100" s="106">
        <v>131.80000000000001</v>
      </c>
      <c r="C100" s="106">
        <v>135</v>
      </c>
      <c r="D100" s="106">
        <v>131.4</v>
      </c>
      <c r="E100" s="106">
        <v>131.4</v>
      </c>
      <c r="F100" s="106">
        <v>131.4</v>
      </c>
      <c r="G100" s="106">
        <v>131.4</v>
      </c>
      <c r="H100" s="106">
        <v>132.30000000000001</v>
      </c>
      <c r="I100" s="106">
        <v>132.30000000000001</v>
      </c>
      <c r="J100" s="106">
        <v>135</v>
      </c>
      <c r="K100" s="106">
        <v>135</v>
      </c>
      <c r="L100" s="106">
        <v>133</v>
      </c>
      <c r="M100" s="106">
        <v>131.4</v>
      </c>
      <c r="N100" s="106">
        <v>131.5</v>
      </c>
      <c r="O100" s="106">
        <v>133.6</v>
      </c>
      <c r="P100" s="106">
        <v>132.6</v>
      </c>
      <c r="Q100" s="106">
        <v>135</v>
      </c>
      <c r="R100" s="106">
        <v>131.4</v>
      </c>
      <c r="S100" s="106">
        <v>132.5</v>
      </c>
      <c r="T100" s="106">
        <v>136.9</v>
      </c>
      <c r="U100" s="106">
        <v>133.19999999999999</v>
      </c>
      <c r="V100" s="106">
        <v>133.19999999999999</v>
      </c>
      <c r="W100" s="106">
        <v>134</v>
      </c>
      <c r="X100" s="106">
        <v>133.9</v>
      </c>
      <c r="Y100" s="106">
        <v>135.19999999999999</v>
      </c>
      <c r="Z100" s="106">
        <v>134.6</v>
      </c>
      <c r="AA100" s="106">
        <v>134.5</v>
      </c>
      <c r="AB100" s="106">
        <v>134.1</v>
      </c>
      <c r="AC100" s="106">
        <v>135.69999999999999</v>
      </c>
      <c r="AD100" s="106">
        <v>135.1</v>
      </c>
      <c r="AE100" s="106">
        <v>133.5</v>
      </c>
      <c r="AF100" s="106">
        <v>128.5</v>
      </c>
      <c r="AG100" s="107"/>
      <c r="AH100" s="47">
        <f t="shared" si="17"/>
        <v>136.9</v>
      </c>
      <c r="AI100" s="48">
        <f t="shared" si="18"/>
        <v>128.5</v>
      </c>
    </row>
    <row r="101" spans="1:35" x14ac:dyDescent="0.25">
      <c r="A101" s="103" t="s">
        <v>109</v>
      </c>
      <c r="B101" s="65">
        <v>132.1</v>
      </c>
      <c r="C101" s="65">
        <v>134.69999999999999</v>
      </c>
      <c r="D101" s="65">
        <v>131.19999999999999</v>
      </c>
      <c r="E101" s="65">
        <v>131.19999999999999</v>
      </c>
      <c r="F101" s="65">
        <v>131.19999999999999</v>
      </c>
      <c r="G101" s="65">
        <v>131.19999999999999</v>
      </c>
      <c r="H101" s="65">
        <v>131.19999999999999</v>
      </c>
      <c r="I101" s="65">
        <v>131.19999999999999</v>
      </c>
      <c r="J101" s="65">
        <v>131.69999999999999</v>
      </c>
      <c r="K101" s="65">
        <v>131.69999999999999</v>
      </c>
      <c r="L101" s="65">
        <v>129.30000000000001</v>
      </c>
      <c r="M101" s="65">
        <v>129</v>
      </c>
      <c r="N101" s="65">
        <v>130.6</v>
      </c>
      <c r="O101" s="65">
        <v>133</v>
      </c>
      <c r="P101" s="65">
        <v>132.80000000000001</v>
      </c>
      <c r="Q101" s="65">
        <v>134.9</v>
      </c>
      <c r="R101" s="65">
        <v>128.1</v>
      </c>
      <c r="S101" s="65">
        <v>131.1</v>
      </c>
      <c r="T101" s="65">
        <v>137</v>
      </c>
      <c r="U101" s="65">
        <v>131.19999999999999</v>
      </c>
      <c r="V101" s="65">
        <v>131.19999999999999</v>
      </c>
      <c r="W101" s="65"/>
      <c r="X101" s="65"/>
      <c r="Y101" s="65"/>
      <c r="Z101" s="65"/>
      <c r="AA101" s="65"/>
      <c r="AB101" s="65">
        <v>134.19999999999999</v>
      </c>
      <c r="AC101" s="65">
        <v>136.5</v>
      </c>
      <c r="AD101" s="65">
        <v>136.30000000000001</v>
      </c>
      <c r="AE101" s="65">
        <v>132.6</v>
      </c>
      <c r="AF101" s="65">
        <v>129.9</v>
      </c>
      <c r="AG101" s="104"/>
      <c r="AH101" s="47">
        <f t="shared" si="17"/>
        <v>137</v>
      </c>
      <c r="AI101" s="48">
        <f t="shared" si="18"/>
        <v>128.1</v>
      </c>
    </row>
    <row r="102" spans="1:35" ht="15.75" thickBot="1" x14ac:dyDescent="0.3">
      <c r="A102" s="103" t="s">
        <v>110</v>
      </c>
      <c r="B102" s="92">
        <v>66.900000000000006</v>
      </c>
      <c r="C102" s="92">
        <v>67.3</v>
      </c>
      <c r="D102" s="92">
        <v>67</v>
      </c>
      <c r="E102" s="92">
        <v>67</v>
      </c>
      <c r="F102" s="92">
        <v>67</v>
      </c>
      <c r="G102" s="92">
        <v>67</v>
      </c>
      <c r="H102" s="92">
        <v>65.739999999999995</v>
      </c>
      <c r="I102" s="92">
        <v>65.739999999999995</v>
      </c>
      <c r="J102" s="92">
        <v>65.2</v>
      </c>
      <c r="K102" s="92">
        <v>65.2</v>
      </c>
      <c r="L102" s="92">
        <v>64.400000000000006</v>
      </c>
      <c r="M102" s="92">
        <v>64.599999999999994</v>
      </c>
      <c r="N102" s="92">
        <v>65.099999999999994</v>
      </c>
      <c r="O102" s="92">
        <v>65.099999999999994</v>
      </c>
      <c r="P102" s="92">
        <v>64.7</v>
      </c>
      <c r="Q102" s="92">
        <v>65.8</v>
      </c>
      <c r="R102" s="92">
        <v>64.599999999999994</v>
      </c>
      <c r="S102" s="92">
        <v>64.599999999999994</v>
      </c>
      <c r="T102" s="92">
        <v>65.3</v>
      </c>
      <c r="U102" s="92">
        <v>65.099999999999994</v>
      </c>
      <c r="V102" s="92">
        <v>65.099999999999994</v>
      </c>
      <c r="W102" s="92">
        <v>65.400000000000006</v>
      </c>
      <c r="X102" s="92">
        <v>65.2</v>
      </c>
      <c r="Y102" s="92">
        <v>65.400000000000006</v>
      </c>
      <c r="Z102" s="92">
        <v>65.7</v>
      </c>
      <c r="AA102" s="92">
        <v>66.099999999999994</v>
      </c>
      <c r="AB102" s="92">
        <v>66</v>
      </c>
      <c r="AC102" s="92">
        <v>66.5</v>
      </c>
      <c r="AD102" s="92">
        <v>66.599999999999994</v>
      </c>
      <c r="AE102" s="92">
        <v>67.099999999999994</v>
      </c>
      <c r="AF102" s="92">
        <v>65.900000000000006</v>
      </c>
      <c r="AG102" s="108"/>
      <c r="AH102" s="47">
        <f t="shared" si="17"/>
        <v>67.3</v>
      </c>
      <c r="AI102" s="48">
        <f t="shared" si="18"/>
        <v>64.400000000000006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7"/>
        <v>0</v>
      </c>
      <c r="AI103" s="48">
        <f t="shared" si="18"/>
        <v>0</v>
      </c>
    </row>
    <row r="104" spans="1:35" ht="15.75" thickBot="1" x14ac:dyDescent="0.3">
      <c r="A104" s="110" t="s">
        <v>112</v>
      </c>
      <c r="B104" s="111">
        <f t="shared" ref="B104" si="29">SUM(B16,B22,B25:B26,B52,B54:B55,B57,B59,B105:B109,B131,B137,B143,B152,B154,B166,B173,B176:B177,B184,B186,B188,B192:B194,B196:B198,B203,B209:B210,B212:B214,B222,B227)</f>
        <v>116</v>
      </c>
      <c r="C104" s="111">
        <f t="shared" ref="C104:AF104" si="30">SUM(C16,C22,C25:C26,C52,C54:C55,C57,C59,C105:C109,C131,C137,C143,C152,C154,C166,C173,C176:C177,C184,C186,C188,C192:C194,C196:C198,C203,C209:C210,C212:C214,C222,C227)</f>
        <v>112.24000000000001</v>
      </c>
      <c r="D104" s="111">
        <f t="shared" si="30"/>
        <v>104.63999999999999</v>
      </c>
      <c r="E104" s="111">
        <f t="shared" si="30"/>
        <v>104.33999999999999</v>
      </c>
      <c r="F104" s="111">
        <f t="shared" si="30"/>
        <v>114.43999999999998</v>
      </c>
      <c r="G104" s="111">
        <f t="shared" si="30"/>
        <v>131.83999999999997</v>
      </c>
      <c r="H104" s="111">
        <f t="shared" si="30"/>
        <v>164.54</v>
      </c>
      <c r="I104" s="111">
        <f t="shared" si="30"/>
        <v>193.33999999999997</v>
      </c>
      <c r="J104" s="111">
        <f t="shared" si="30"/>
        <v>218.44</v>
      </c>
      <c r="K104" s="111">
        <f t="shared" si="30"/>
        <v>266.54000000000002</v>
      </c>
      <c r="L104" s="111">
        <f t="shared" si="30"/>
        <v>305.33999999999997</v>
      </c>
      <c r="M104" s="111">
        <f t="shared" si="30"/>
        <v>331.34</v>
      </c>
      <c r="N104" s="111">
        <f t="shared" si="30"/>
        <v>285.64</v>
      </c>
      <c r="O104" s="111">
        <f t="shared" si="30"/>
        <v>289.04000000000002</v>
      </c>
      <c r="P104" s="111">
        <v>42</v>
      </c>
      <c r="Q104" s="111">
        <f t="shared" si="30"/>
        <v>234.4</v>
      </c>
      <c r="R104" s="111">
        <f t="shared" si="30"/>
        <v>246.5</v>
      </c>
      <c r="S104" s="111">
        <f t="shared" si="30"/>
        <v>237.73000000000002</v>
      </c>
      <c r="T104" s="111">
        <f t="shared" si="30"/>
        <v>252.1</v>
      </c>
      <c r="U104" s="111">
        <f t="shared" si="30"/>
        <v>234.5</v>
      </c>
      <c r="V104" s="111">
        <f t="shared" ref="V104" si="31">SUM(V16,V22,V25:V26,V52,V54:V55,V57,V59,V105:V109,V131,V137,V143,V152,V154,V166,V173,V176:V177,V184,V186,V188,V192:V194,V196:V198,V203,V209:V210,V212:V214,V222,V227)</f>
        <v>234.5</v>
      </c>
      <c r="W104" s="111">
        <f t="shared" si="30"/>
        <v>287.8</v>
      </c>
      <c r="X104" s="111">
        <f t="shared" si="30"/>
        <v>306.8</v>
      </c>
      <c r="Y104" s="111">
        <v>402.6970833333333</v>
      </c>
      <c r="Z104" s="111">
        <f t="shared" si="30"/>
        <v>324</v>
      </c>
      <c r="AA104" s="111">
        <f t="shared" si="30"/>
        <v>303.60000000000002</v>
      </c>
      <c r="AB104" s="111">
        <f t="shared" si="30"/>
        <v>294.2</v>
      </c>
      <c r="AC104" s="111">
        <f t="shared" si="30"/>
        <v>265.40000000000003</v>
      </c>
      <c r="AD104" s="111">
        <f t="shared" si="30"/>
        <v>247.8</v>
      </c>
      <c r="AE104" s="111">
        <f t="shared" si="30"/>
        <v>193.8</v>
      </c>
      <c r="AF104" s="111">
        <f t="shared" si="30"/>
        <v>137</v>
      </c>
      <c r="AG104" s="112"/>
      <c r="AH104" s="47">
        <f t="shared" si="17"/>
        <v>402.6970833333333</v>
      </c>
      <c r="AI104" s="48">
        <f t="shared" si="18"/>
        <v>42</v>
      </c>
    </row>
    <row r="105" spans="1:35" x14ac:dyDescent="0.25">
      <c r="A105" s="100" t="s">
        <v>113</v>
      </c>
      <c r="B105" s="113">
        <v>-28.3</v>
      </c>
      <c r="C105" s="113">
        <v>-27.6</v>
      </c>
      <c r="D105" s="113">
        <v>-27.5</v>
      </c>
      <c r="E105" s="113">
        <v>-32.5</v>
      </c>
      <c r="F105" s="113">
        <v>-33.9</v>
      </c>
      <c r="G105" s="113">
        <v>-26.9</v>
      </c>
      <c r="H105" s="113">
        <v>-22.8</v>
      </c>
      <c r="I105" s="113">
        <v>-10.7</v>
      </c>
      <c r="J105" s="113">
        <v>-2</v>
      </c>
      <c r="K105" s="113">
        <v>4</v>
      </c>
      <c r="L105" s="113">
        <v>10.5</v>
      </c>
      <c r="M105" s="113">
        <v>13.2</v>
      </c>
      <c r="N105" s="113">
        <v>18.100000000000001</v>
      </c>
      <c r="O105" s="113">
        <v>24.6</v>
      </c>
      <c r="P105" s="113">
        <v>19</v>
      </c>
      <c r="Q105" s="113">
        <v>3.7</v>
      </c>
      <c r="R105" s="113">
        <v>-2.7</v>
      </c>
      <c r="S105" s="113">
        <v>-13.9</v>
      </c>
      <c r="T105" s="113">
        <v>-15</v>
      </c>
      <c r="U105" s="113">
        <v>-16</v>
      </c>
      <c r="V105" s="113">
        <v>-16</v>
      </c>
      <c r="W105" s="113">
        <v>5.0999999999999996</v>
      </c>
      <c r="X105" s="113">
        <v>16.5</v>
      </c>
      <c r="Y105" s="113">
        <v>29.9</v>
      </c>
      <c r="Z105" s="113">
        <v>35.299999999999997</v>
      </c>
      <c r="AA105" s="113">
        <v>31.5</v>
      </c>
      <c r="AB105" s="113">
        <v>22.3</v>
      </c>
      <c r="AC105" s="113">
        <v>18.899999999999999</v>
      </c>
      <c r="AD105" s="113">
        <v>17.399999999999999</v>
      </c>
      <c r="AE105" s="113">
        <v>-2.9</v>
      </c>
      <c r="AF105" s="113">
        <v>-31.4</v>
      </c>
      <c r="AG105" s="114">
        <v>75</v>
      </c>
      <c r="AH105" s="47">
        <f t="shared" si="17"/>
        <v>35.299999999999997</v>
      </c>
      <c r="AI105" s="48">
        <f t="shared" si="18"/>
        <v>-33.9</v>
      </c>
    </row>
    <row r="106" spans="1:35" x14ac:dyDescent="0.25">
      <c r="A106" s="103" t="s">
        <v>114</v>
      </c>
      <c r="B106" s="115">
        <v>-33.4</v>
      </c>
      <c r="C106" s="115">
        <v>-33.700000000000003</v>
      </c>
      <c r="D106" s="115">
        <v>-33</v>
      </c>
      <c r="E106" s="115">
        <v>-41.6</v>
      </c>
      <c r="F106" s="115">
        <v>-42</v>
      </c>
      <c r="G106" s="115">
        <v>-33.299999999999997</v>
      </c>
      <c r="H106" s="115">
        <v>-28.3</v>
      </c>
      <c r="I106" s="115">
        <v>-12</v>
      </c>
      <c r="J106" s="115">
        <v>0</v>
      </c>
      <c r="K106" s="115">
        <v>3</v>
      </c>
      <c r="L106" s="115">
        <v>8.5</v>
      </c>
      <c r="M106" s="115">
        <v>14.4</v>
      </c>
      <c r="N106" s="115">
        <v>21.9</v>
      </c>
      <c r="O106" s="115">
        <v>31.5</v>
      </c>
      <c r="P106" s="115">
        <v>29</v>
      </c>
      <c r="Q106" s="115">
        <v>8.5</v>
      </c>
      <c r="R106" s="115">
        <v>-0.7</v>
      </c>
      <c r="S106" s="115">
        <v>-16.37</v>
      </c>
      <c r="T106" s="115">
        <v>-20</v>
      </c>
      <c r="U106" s="115">
        <v>-23.7</v>
      </c>
      <c r="V106" s="115">
        <v>-23.7</v>
      </c>
      <c r="W106" s="115">
        <v>0.9</v>
      </c>
      <c r="X106" s="115">
        <v>14.4</v>
      </c>
      <c r="Y106" s="115">
        <v>35.6</v>
      </c>
      <c r="Z106" s="115">
        <v>42.3</v>
      </c>
      <c r="AA106" s="115">
        <v>38.799999999999997</v>
      </c>
      <c r="AB106" s="115">
        <v>25</v>
      </c>
      <c r="AC106" s="115">
        <v>20.5</v>
      </c>
      <c r="AD106" s="115">
        <v>20.100000000000001</v>
      </c>
      <c r="AE106" s="115">
        <v>-5.7</v>
      </c>
      <c r="AF106" s="115">
        <v>-40.5</v>
      </c>
      <c r="AG106" s="114">
        <v>240</v>
      </c>
      <c r="AH106" s="47">
        <f t="shared" si="17"/>
        <v>42.3</v>
      </c>
      <c r="AI106" s="48">
        <f t="shared" si="18"/>
        <v>-42</v>
      </c>
    </row>
    <row r="107" spans="1:35" x14ac:dyDescent="0.25">
      <c r="A107" s="103" t="s">
        <v>115</v>
      </c>
      <c r="B107" s="115">
        <v>-2.7</v>
      </c>
      <c r="C107" s="115">
        <v>-3.9</v>
      </c>
      <c r="D107" s="115">
        <v>-6.3</v>
      </c>
      <c r="E107" s="115">
        <v>-1.7</v>
      </c>
      <c r="F107" s="115">
        <v>2</v>
      </c>
      <c r="G107" s="115">
        <v>0</v>
      </c>
      <c r="H107" s="115">
        <v>11.7</v>
      </c>
      <c r="I107" s="115">
        <v>8.8000000000000007</v>
      </c>
      <c r="J107" s="115">
        <v>-15</v>
      </c>
      <c r="K107" s="115">
        <v>10</v>
      </c>
      <c r="L107" s="115">
        <v>35.299999999999997</v>
      </c>
      <c r="M107" s="115">
        <f>24.3+22.8</f>
        <v>47.1</v>
      </c>
      <c r="N107" s="115">
        <v>10.9</v>
      </c>
      <c r="O107" s="115">
        <v>16.2</v>
      </c>
      <c r="P107" s="115">
        <v>25</v>
      </c>
      <c r="Q107" s="115">
        <v>17</v>
      </c>
      <c r="R107" s="115">
        <f>11.9+9.2</f>
        <v>21.1</v>
      </c>
      <c r="S107" s="115">
        <f>-1.5+15.2</f>
        <v>13.7</v>
      </c>
      <c r="T107" s="115">
        <v>35</v>
      </c>
      <c r="U107" s="115">
        <f>-12.4+19.5</f>
        <v>7.1</v>
      </c>
      <c r="V107" s="115">
        <f>-12.4+19.5</f>
        <v>7.1</v>
      </c>
      <c r="W107" s="115">
        <f>17.8+24.6</f>
        <v>42.400000000000006</v>
      </c>
      <c r="X107" s="115">
        <f>23.2+14.7</f>
        <v>37.9</v>
      </c>
      <c r="Y107" s="115">
        <v>31.5</v>
      </c>
      <c r="Z107" s="115">
        <f>1+18.9</f>
        <v>19.899999999999999</v>
      </c>
      <c r="AA107" s="115">
        <f>14.1+19.8</f>
        <v>33.9</v>
      </c>
      <c r="AB107" s="115">
        <v>32</v>
      </c>
      <c r="AC107" s="115">
        <f>11+12</f>
        <v>23</v>
      </c>
      <c r="AD107" s="115">
        <v>18</v>
      </c>
      <c r="AE107" s="115">
        <v>9.1999999999999993</v>
      </c>
      <c r="AF107" s="115">
        <f>4.5+5.2</f>
        <v>9.6999999999999993</v>
      </c>
      <c r="AG107" s="114">
        <v>240</v>
      </c>
      <c r="AH107" s="47">
        <f t="shared" si="17"/>
        <v>47.1</v>
      </c>
      <c r="AI107" s="48">
        <f t="shared" si="18"/>
        <v>-15</v>
      </c>
    </row>
    <row r="108" spans="1:35" x14ac:dyDescent="0.25">
      <c r="A108" s="103" t="s">
        <v>116</v>
      </c>
      <c r="B108" s="115">
        <v>0</v>
      </c>
      <c r="C108" s="115">
        <v>-1.3</v>
      </c>
      <c r="D108" s="115">
        <v>-3.1</v>
      </c>
      <c r="E108" s="115">
        <v>-3</v>
      </c>
      <c r="F108" s="115">
        <v>-2.7</v>
      </c>
      <c r="G108" s="115">
        <v>0.2</v>
      </c>
      <c r="H108" s="115">
        <v>2.8</v>
      </c>
      <c r="I108" s="115">
        <v>1.8</v>
      </c>
      <c r="J108" s="115">
        <v>24.9</v>
      </c>
      <c r="K108" s="115">
        <v>32</v>
      </c>
      <c r="L108" s="115">
        <v>36.9</v>
      </c>
      <c r="M108" s="115">
        <v>37.799999999999997</v>
      </c>
      <c r="N108" s="115">
        <v>36.1</v>
      </c>
      <c r="O108" s="115">
        <v>13.5</v>
      </c>
      <c r="P108" s="115">
        <v>8.6999999999999993</v>
      </c>
      <c r="Q108" s="115">
        <v>29.4</v>
      </c>
      <c r="R108" s="115">
        <v>23</v>
      </c>
      <c r="S108" s="115">
        <v>32.1</v>
      </c>
      <c r="T108" s="115">
        <v>37</v>
      </c>
      <c r="U108" s="115">
        <v>45.1</v>
      </c>
      <c r="V108" s="115">
        <v>45.1</v>
      </c>
      <c r="W108" s="115">
        <v>19.8</v>
      </c>
      <c r="X108" s="115">
        <v>32.799999999999997</v>
      </c>
      <c r="Y108" s="115">
        <v>45.6</v>
      </c>
      <c r="Z108" s="115">
        <v>37.6</v>
      </c>
      <c r="AA108" s="115">
        <v>11.3</v>
      </c>
      <c r="AB108" s="115">
        <v>17.7</v>
      </c>
      <c r="AC108" s="115">
        <v>14.8</v>
      </c>
      <c r="AD108" s="115">
        <v>12.1</v>
      </c>
      <c r="AE108" s="115">
        <v>8.3000000000000007</v>
      </c>
      <c r="AF108" s="115">
        <v>4.2</v>
      </c>
      <c r="AG108" s="114">
        <v>60</v>
      </c>
      <c r="AH108" s="47">
        <f t="shared" si="17"/>
        <v>45.6</v>
      </c>
      <c r="AI108" s="48">
        <f t="shared" si="18"/>
        <v>-3.1</v>
      </c>
    </row>
    <row r="109" spans="1:35" x14ac:dyDescent="0.25">
      <c r="A109" s="116" t="s">
        <v>117</v>
      </c>
      <c r="B109" s="117">
        <v>79.900000000000006</v>
      </c>
      <c r="C109" s="117">
        <v>77.3</v>
      </c>
      <c r="D109" s="117">
        <v>73.099999999999994</v>
      </c>
      <c r="E109" s="117">
        <v>82.6</v>
      </c>
      <c r="F109" s="117">
        <v>90.5</v>
      </c>
      <c r="G109" s="117">
        <v>91.3</v>
      </c>
      <c r="H109" s="117">
        <v>100.6</v>
      </c>
      <c r="I109" s="117">
        <v>104.9</v>
      </c>
      <c r="J109" s="117">
        <v>110</v>
      </c>
      <c r="K109" s="117">
        <v>117</v>
      </c>
      <c r="L109" s="117">
        <v>113.6</v>
      </c>
      <c r="M109" s="117">
        <v>112.9</v>
      </c>
      <c r="N109" s="117">
        <v>91.3</v>
      </c>
      <c r="O109" s="117">
        <v>93.9</v>
      </c>
      <c r="P109" s="117">
        <v>84.3</v>
      </c>
      <c r="Q109" s="117">
        <v>64.599999999999994</v>
      </c>
      <c r="R109" s="117">
        <v>95.9</v>
      </c>
      <c r="S109" s="117">
        <v>112.3</v>
      </c>
      <c r="T109" s="117">
        <v>105</v>
      </c>
      <c r="U109" s="117">
        <v>111.9</v>
      </c>
      <c r="V109" s="117">
        <v>111.9</v>
      </c>
      <c r="W109" s="117">
        <v>114.5</v>
      </c>
      <c r="X109" s="117">
        <v>108.7</v>
      </c>
      <c r="Y109" s="117">
        <v>100.1</v>
      </c>
      <c r="Z109" s="117">
        <v>92.4</v>
      </c>
      <c r="AA109" s="117">
        <v>91.6</v>
      </c>
      <c r="AB109" s="117">
        <v>100.7</v>
      </c>
      <c r="AC109" s="117">
        <v>91.7</v>
      </c>
      <c r="AD109" s="117">
        <v>83.7</v>
      </c>
      <c r="AE109" s="117">
        <v>88.4</v>
      </c>
      <c r="AF109" s="117">
        <v>98.5</v>
      </c>
      <c r="AG109" s="118">
        <v>120</v>
      </c>
      <c r="AH109" s="47">
        <f t="shared" si="17"/>
        <v>117</v>
      </c>
      <c r="AI109" s="48">
        <f t="shared" si="18"/>
        <v>64.599999999999994</v>
      </c>
    </row>
    <row r="110" spans="1:35" x14ac:dyDescent="0.25">
      <c r="A110" s="116" t="s">
        <v>118</v>
      </c>
      <c r="B110" s="117">
        <v>74.599999999999994</v>
      </c>
      <c r="C110" s="117">
        <v>72.3</v>
      </c>
      <c r="D110" s="117">
        <v>65.5</v>
      </c>
      <c r="E110" s="117">
        <v>78.400000000000006</v>
      </c>
      <c r="F110" s="117">
        <v>81.599999999999994</v>
      </c>
      <c r="G110" s="117">
        <v>80.2</v>
      </c>
      <c r="H110" s="117">
        <v>86.6</v>
      </c>
      <c r="I110" s="117">
        <v>86.1</v>
      </c>
      <c r="J110" s="117">
        <v>76</v>
      </c>
      <c r="K110" s="117">
        <v>92</v>
      </c>
      <c r="L110" s="117">
        <v>89.2</v>
      </c>
      <c r="M110" s="117">
        <v>81.900000000000006</v>
      </c>
      <c r="N110" s="117">
        <v>61.6</v>
      </c>
      <c r="O110" s="117">
        <v>69.900000000000006</v>
      </c>
      <c r="P110" s="117">
        <v>80.400000000000006</v>
      </c>
      <c r="Q110" s="117">
        <v>88.4</v>
      </c>
      <c r="R110" s="117">
        <v>84.9</v>
      </c>
      <c r="S110" s="117">
        <v>93.5</v>
      </c>
      <c r="T110" s="117">
        <v>86</v>
      </c>
      <c r="U110" s="117">
        <v>93.2</v>
      </c>
      <c r="V110" s="117">
        <v>93.2</v>
      </c>
      <c r="W110" s="117">
        <v>90.2</v>
      </c>
      <c r="X110" s="117">
        <v>81.099999999999994</v>
      </c>
      <c r="Y110" s="117">
        <v>71.400000000000006</v>
      </c>
      <c r="Z110" s="117">
        <v>60</v>
      </c>
      <c r="AA110" s="117">
        <v>67</v>
      </c>
      <c r="AB110" s="117">
        <v>79.2</v>
      </c>
      <c r="AC110" s="117">
        <v>72.099999999999994</v>
      </c>
      <c r="AD110" s="117">
        <v>66.400000000000006</v>
      </c>
      <c r="AE110" s="117">
        <v>74.400000000000006</v>
      </c>
      <c r="AF110" s="117">
        <v>89.3</v>
      </c>
      <c r="AG110" s="118"/>
      <c r="AH110" s="47">
        <f t="shared" si="17"/>
        <v>93.5</v>
      </c>
      <c r="AI110" s="48">
        <f t="shared" si="18"/>
        <v>60</v>
      </c>
    </row>
    <row r="111" spans="1:35" x14ac:dyDescent="0.25">
      <c r="A111" s="116" t="s">
        <v>119</v>
      </c>
      <c r="B111" s="117">
        <v>55.1</v>
      </c>
      <c r="C111" s="117">
        <v>56.6</v>
      </c>
      <c r="D111" s="117">
        <v>50.9</v>
      </c>
      <c r="E111" s="117">
        <v>54</v>
      </c>
      <c r="F111" s="117">
        <v>55.3</v>
      </c>
      <c r="G111" s="117">
        <v>53.9</v>
      </c>
      <c r="H111" s="117">
        <v>51.6</v>
      </c>
      <c r="I111" s="117">
        <v>56.1</v>
      </c>
      <c r="J111" s="117">
        <v>50</v>
      </c>
      <c r="K111" s="117">
        <v>48</v>
      </c>
      <c r="L111" s="117">
        <v>45.1</v>
      </c>
      <c r="M111" s="117">
        <v>38.4</v>
      </c>
      <c r="N111" s="117">
        <v>38</v>
      </c>
      <c r="O111" s="117">
        <v>28</v>
      </c>
      <c r="P111" s="117">
        <v>31.9</v>
      </c>
      <c r="Q111" s="117">
        <v>44</v>
      </c>
      <c r="R111" s="117">
        <v>41.5</v>
      </c>
      <c r="S111" s="117">
        <v>45.1</v>
      </c>
      <c r="T111" s="117">
        <v>49</v>
      </c>
      <c r="U111" s="117">
        <v>54.7</v>
      </c>
      <c r="V111" s="117">
        <v>54.7</v>
      </c>
      <c r="W111" s="117">
        <v>40.1</v>
      </c>
      <c r="X111" s="117">
        <v>29</v>
      </c>
      <c r="Y111" s="117">
        <v>14.4</v>
      </c>
      <c r="Z111" s="117">
        <v>17.2</v>
      </c>
      <c r="AA111" s="117">
        <v>16</v>
      </c>
      <c r="AB111" s="117">
        <v>27.2</v>
      </c>
      <c r="AC111" s="117">
        <v>28.7</v>
      </c>
      <c r="AD111" s="117">
        <v>28</v>
      </c>
      <c r="AE111" s="117">
        <v>48.2</v>
      </c>
      <c r="AF111" s="117"/>
      <c r="AG111" s="119"/>
      <c r="AH111" s="47">
        <f t="shared" si="17"/>
        <v>56.6</v>
      </c>
      <c r="AI111" s="48">
        <f t="shared" si="18"/>
        <v>14.4</v>
      </c>
    </row>
    <row r="112" spans="1:35" x14ac:dyDescent="0.25">
      <c r="A112" s="120" t="s">
        <v>120</v>
      </c>
      <c r="B112" s="106">
        <v>2.2999999999999998</v>
      </c>
      <c r="C112" s="106">
        <v>5</v>
      </c>
      <c r="D112" s="106">
        <v>7.3</v>
      </c>
      <c r="E112" s="106">
        <v>9.85</v>
      </c>
      <c r="F112" s="106">
        <v>3.8</v>
      </c>
      <c r="G112" s="106">
        <v>3.6</v>
      </c>
      <c r="H112" s="106">
        <v>-6</v>
      </c>
      <c r="I112" s="106">
        <v>-14.9</v>
      </c>
      <c r="J112" s="106">
        <v>-32.9</v>
      </c>
      <c r="K112" s="106">
        <v>-42</v>
      </c>
      <c r="L112" s="106">
        <v>-56</v>
      </c>
      <c r="M112" s="106">
        <v>-58.4</v>
      </c>
      <c r="N112" s="106">
        <v>-40.4</v>
      </c>
      <c r="O112" s="106">
        <v>-43.4</v>
      </c>
      <c r="P112" s="106">
        <v>-33.200000000000003</v>
      </c>
      <c r="Q112" s="106">
        <v>-14.1</v>
      </c>
      <c r="R112" s="106">
        <v>-26.7</v>
      </c>
      <c r="S112" s="106">
        <v>-27.4</v>
      </c>
      <c r="T112" s="106">
        <v>27</v>
      </c>
      <c r="U112" s="106">
        <v>-30.5</v>
      </c>
      <c r="V112" s="106">
        <v>-30.5</v>
      </c>
      <c r="W112" s="106">
        <v>-50.7</v>
      </c>
      <c r="X112" s="106">
        <v>-70.099999999999994</v>
      </c>
      <c r="Y112" s="106">
        <v>-76.8</v>
      </c>
      <c r="Z112" s="106">
        <v>-59.9</v>
      </c>
      <c r="AA112" s="106">
        <v>-40</v>
      </c>
      <c r="AB112" s="106">
        <v>15.6</v>
      </c>
      <c r="AC112" s="106">
        <v>14.8</v>
      </c>
      <c r="AD112" s="106">
        <v>12.63</v>
      </c>
      <c r="AE112" s="106">
        <v>10.5</v>
      </c>
      <c r="AF112" s="106">
        <v>15</v>
      </c>
      <c r="AG112" s="119"/>
      <c r="AH112" s="47">
        <f t="shared" si="17"/>
        <v>27</v>
      </c>
      <c r="AI112" s="48">
        <f t="shared" si="18"/>
        <v>-76.8</v>
      </c>
    </row>
    <row r="113" spans="1:37" ht="15.75" thickBot="1" x14ac:dyDescent="0.3">
      <c r="A113" s="120" t="s">
        <v>121</v>
      </c>
      <c r="B113" s="106">
        <v>55.6</v>
      </c>
      <c r="C113" s="106">
        <v>53.8</v>
      </c>
      <c r="D113" s="106">
        <v>43.7</v>
      </c>
      <c r="E113" s="106">
        <v>48.4</v>
      </c>
      <c r="F113" s="106">
        <v>47.6</v>
      </c>
      <c r="G113" s="106">
        <v>56.4</v>
      </c>
      <c r="H113" s="106">
        <v>60.1</v>
      </c>
      <c r="I113" s="106">
        <v>56.4</v>
      </c>
      <c r="J113" s="106">
        <v>70.5</v>
      </c>
      <c r="K113" s="106">
        <v>62</v>
      </c>
      <c r="L113" s="106">
        <v>53.7</v>
      </c>
      <c r="M113" s="106">
        <v>53.5</v>
      </c>
      <c r="N113" s="106">
        <v>46.6</v>
      </c>
      <c r="O113" s="106">
        <v>73.099999999999994</v>
      </c>
      <c r="P113" s="106">
        <v>78.099999999999994</v>
      </c>
      <c r="Q113" s="106">
        <v>73</v>
      </c>
      <c r="R113" s="106">
        <v>68.900000000000006</v>
      </c>
      <c r="S113" s="106">
        <v>77</v>
      </c>
      <c r="T113" s="106">
        <v>79</v>
      </c>
      <c r="U113" s="106">
        <v>76.599999999999994</v>
      </c>
      <c r="V113" s="106">
        <v>76.599999999999994</v>
      </c>
      <c r="W113" s="106">
        <v>73.2</v>
      </c>
      <c r="X113" s="106">
        <v>71.2</v>
      </c>
      <c r="Y113" s="106">
        <v>79</v>
      </c>
      <c r="Z113" s="106">
        <v>59.9</v>
      </c>
      <c r="AA113" s="106">
        <v>55.6</v>
      </c>
      <c r="AB113" s="106">
        <v>59</v>
      </c>
      <c r="AC113" s="106">
        <v>72.3</v>
      </c>
      <c r="AD113" s="106">
        <v>71.599999999999994</v>
      </c>
      <c r="AE113" s="106">
        <v>65.8</v>
      </c>
      <c r="AF113" s="106">
        <v>57.6</v>
      </c>
      <c r="AG113" s="119"/>
      <c r="AH113" s="47">
        <f t="shared" si="17"/>
        <v>79</v>
      </c>
      <c r="AI113" s="48">
        <f t="shared" si="18"/>
        <v>43.7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2">SUM(B115:B219)</f>
        <v>0</v>
      </c>
      <c r="C220" s="136">
        <f t="shared" si="32"/>
        <v>0</v>
      </c>
      <c r="D220" s="136">
        <f t="shared" si="32"/>
        <v>0</v>
      </c>
      <c r="E220" s="136">
        <f t="shared" si="32"/>
        <v>0</v>
      </c>
      <c r="F220" s="136">
        <f t="shared" si="32"/>
        <v>0</v>
      </c>
      <c r="G220" s="136">
        <f t="shared" si="32"/>
        <v>0</v>
      </c>
      <c r="H220" s="136">
        <f t="shared" si="32"/>
        <v>0</v>
      </c>
      <c r="I220" s="136">
        <f t="shared" si="32"/>
        <v>0</v>
      </c>
      <c r="J220" s="136">
        <f t="shared" si="32"/>
        <v>0</v>
      </c>
      <c r="K220" s="136">
        <f t="shared" si="32"/>
        <v>0</v>
      </c>
      <c r="L220" s="136">
        <f t="shared" si="32"/>
        <v>0</v>
      </c>
      <c r="M220" s="136">
        <f t="shared" si="32"/>
        <v>0</v>
      </c>
      <c r="N220" s="136">
        <f t="shared" si="32"/>
        <v>0</v>
      </c>
      <c r="O220" s="136">
        <f t="shared" si="32"/>
        <v>0</v>
      </c>
      <c r="P220" s="136">
        <f t="shared" si="32"/>
        <v>0</v>
      </c>
      <c r="Q220" s="136">
        <f t="shared" si="32"/>
        <v>0</v>
      </c>
      <c r="R220" s="136">
        <f t="shared" si="32"/>
        <v>0</v>
      </c>
      <c r="S220" s="136">
        <f t="shared" si="32"/>
        <v>0</v>
      </c>
      <c r="T220" s="136">
        <f t="shared" si="32"/>
        <v>0</v>
      </c>
      <c r="U220" s="136">
        <f t="shared" si="32"/>
        <v>0</v>
      </c>
      <c r="V220" s="136">
        <f t="shared" si="32"/>
        <v>0</v>
      </c>
      <c r="W220" s="136">
        <f t="shared" si="32"/>
        <v>0</v>
      </c>
      <c r="X220" s="136">
        <f t="shared" si="32"/>
        <v>0</v>
      </c>
      <c r="Y220" s="136">
        <f t="shared" si="32"/>
        <v>0</v>
      </c>
      <c r="Z220" s="136">
        <f t="shared" si="32"/>
        <v>0</v>
      </c>
      <c r="AA220" s="136">
        <f t="shared" si="32"/>
        <v>0</v>
      </c>
      <c r="AB220" s="136">
        <f t="shared" si="32"/>
        <v>0</v>
      </c>
      <c r="AC220" s="136">
        <f t="shared" si="32"/>
        <v>0</v>
      </c>
      <c r="AD220" s="136">
        <f t="shared" si="32"/>
        <v>0</v>
      </c>
      <c r="AE220" s="136">
        <f t="shared" si="32"/>
        <v>0</v>
      </c>
      <c r="AF220" s="137">
        <f t="shared" si="32"/>
        <v>0</v>
      </c>
      <c r="AG220" s="138">
        <f t="shared" si="32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3">AF222</f>
        <v>0</v>
      </c>
      <c r="C222" s="140">
        <v>0.3</v>
      </c>
      <c r="D222" s="140">
        <f t="shared" ref="D222:P227" si="34">C222</f>
        <v>0.3</v>
      </c>
      <c r="E222" s="140">
        <f t="shared" si="34"/>
        <v>0.3</v>
      </c>
      <c r="F222" s="140">
        <f t="shared" si="34"/>
        <v>0.3</v>
      </c>
      <c r="G222" s="140">
        <f t="shared" si="34"/>
        <v>0.3</v>
      </c>
      <c r="H222" s="140">
        <f t="shared" si="34"/>
        <v>0.3</v>
      </c>
      <c r="I222" s="140">
        <f t="shared" si="34"/>
        <v>0.3</v>
      </c>
      <c r="J222" s="140">
        <f t="shared" si="34"/>
        <v>0.3</v>
      </c>
      <c r="K222" s="140">
        <f t="shared" si="34"/>
        <v>0.3</v>
      </c>
      <c r="L222" s="140">
        <f t="shared" si="34"/>
        <v>0.3</v>
      </c>
      <c r="M222" s="140">
        <f t="shared" si="34"/>
        <v>0.3</v>
      </c>
      <c r="N222" s="140">
        <f t="shared" si="34"/>
        <v>0.3</v>
      </c>
      <c r="O222" s="140">
        <f t="shared" si="34"/>
        <v>0.3</v>
      </c>
      <c r="P222" s="140">
        <f t="shared" si="34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3"/>
        <v>0</v>
      </c>
      <c r="C223" s="128">
        <v>0.4</v>
      </c>
      <c r="D223" s="128">
        <f t="shared" si="34"/>
        <v>0.4</v>
      </c>
      <c r="E223" s="128">
        <f t="shared" si="34"/>
        <v>0.4</v>
      </c>
      <c r="F223" s="128">
        <f t="shared" si="34"/>
        <v>0.4</v>
      </c>
      <c r="G223" s="128">
        <f t="shared" si="34"/>
        <v>0.4</v>
      </c>
      <c r="H223" s="128">
        <f t="shared" si="34"/>
        <v>0.4</v>
      </c>
      <c r="I223" s="128">
        <f t="shared" si="34"/>
        <v>0.4</v>
      </c>
      <c r="J223" s="128">
        <f t="shared" si="34"/>
        <v>0.4</v>
      </c>
      <c r="K223" s="128">
        <f t="shared" si="34"/>
        <v>0.4</v>
      </c>
      <c r="L223" s="128">
        <f t="shared" si="34"/>
        <v>0.4</v>
      </c>
      <c r="M223" s="128">
        <f t="shared" si="34"/>
        <v>0.4</v>
      </c>
      <c r="N223" s="128">
        <f t="shared" si="34"/>
        <v>0.4</v>
      </c>
      <c r="O223" s="128">
        <f t="shared" si="34"/>
        <v>0.4</v>
      </c>
      <c r="P223" s="128">
        <f t="shared" si="34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3"/>
        <v>0</v>
      </c>
      <c r="C224" s="128">
        <v>1.5</v>
      </c>
      <c r="D224" s="128">
        <f t="shared" si="34"/>
        <v>1.5</v>
      </c>
      <c r="E224" s="128">
        <f t="shared" si="34"/>
        <v>1.5</v>
      </c>
      <c r="F224" s="128">
        <f t="shared" si="34"/>
        <v>1.5</v>
      </c>
      <c r="G224" s="128">
        <f t="shared" si="34"/>
        <v>1.5</v>
      </c>
      <c r="H224" s="128">
        <f t="shared" si="34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4"/>
        <v>1.5</v>
      </c>
      <c r="K224" s="128">
        <f t="shared" ca="1" si="34"/>
        <v>1.5</v>
      </c>
      <c r="L224" s="128">
        <f t="shared" ca="1" si="34"/>
        <v>1.5</v>
      </c>
      <c r="M224" s="128">
        <f t="shared" ca="1" si="34"/>
        <v>1.5</v>
      </c>
      <c r="N224" s="128">
        <f t="shared" ca="1" si="34"/>
        <v>1.5</v>
      </c>
      <c r="O224" s="128">
        <f t="shared" ca="1" si="34"/>
        <v>1.5</v>
      </c>
      <c r="P224" s="128">
        <f t="shared" ca="1" si="34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3"/>
        <v>0</v>
      </c>
      <c r="C225" s="128">
        <v>0.3</v>
      </c>
      <c r="D225" s="128">
        <f t="shared" si="34"/>
        <v>0.3</v>
      </c>
      <c r="E225" s="128">
        <f t="shared" si="34"/>
        <v>0.3</v>
      </c>
      <c r="F225" s="128">
        <f t="shared" si="34"/>
        <v>0.3</v>
      </c>
      <c r="G225" s="128">
        <f t="shared" si="34"/>
        <v>0.3</v>
      </c>
      <c r="H225" s="128">
        <f t="shared" si="34"/>
        <v>0.3</v>
      </c>
      <c r="I225" s="128">
        <f t="shared" si="34"/>
        <v>0.3</v>
      </c>
      <c r="J225" s="128">
        <f t="shared" si="34"/>
        <v>0.3</v>
      </c>
      <c r="K225" s="128">
        <f t="shared" si="34"/>
        <v>0.3</v>
      </c>
      <c r="L225" s="128">
        <f t="shared" si="34"/>
        <v>0.3</v>
      </c>
      <c r="M225" s="128">
        <f t="shared" si="34"/>
        <v>0.3</v>
      </c>
      <c r="N225" s="128">
        <f t="shared" si="34"/>
        <v>0.3</v>
      </c>
      <c r="O225" s="128">
        <f t="shared" si="34"/>
        <v>0.3</v>
      </c>
      <c r="P225" s="128">
        <f t="shared" si="34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3"/>
        <v>0</v>
      </c>
      <c r="C226" s="128">
        <v>0.4</v>
      </c>
      <c r="D226" s="128">
        <f t="shared" si="34"/>
        <v>0.4</v>
      </c>
      <c r="E226" s="128">
        <f t="shared" si="34"/>
        <v>0.4</v>
      </c>
      <c r="F226" s="128">
        <f t="shared" si="34"/>
        <v>0.4</v>
      </c>
      <c r="G226" s="128">
        <f t="shared" si="34"/>
        <v>0.4</v>
      </c>
      <c r="H226" s="128">
        <f t="shared" si="34"/>
        <v>0.4</v>
      </c>
      <c r="I226" s="128">
        <f t="shared" si="34"/>
        <v>0.4</v>
      </c>
      <c r="J226" s="128">
        <f t="shared" si="34"/>
        <v>0.4</v>
      </c>
      <c r="K226" s="128">
        <f t="shared" si="34"/>
        <v>0.4</v>
      </c>
      <c r="L226" s="128">
        <f t="shared" si="34"/>
        <v>0.4</v>
      </c>
      <c r="M226" s="128">
        <f t="shared" si="34"/>
        <v>0.4</v>
      </c>
      <c r="N226" s="128">
        <f t="shared" si="34"/>
        <v>0.4</v>
      </c>
      <c r="O226" s="128">
        <f t="shared" si="34"/>
        <v>0.4</v>
      </c>
      <c r="P226" s="128">
        <f t="shared" si="34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3"/>
        <v>0</v>
      </c>
      <c r="C227" s="132">
        <v>0.64</v>
      </c>
      <c r="D227" s="132">
        <f t="shared" si="34"/>
        <v>0.64</v>
      </c>
      <c r="E227" s="132">
        <f t="shared" si="34"/>
        <v>0.64</v>
      </c>
      <c r="F227" s="132">
        <f t="shared" si="34"/>
        <v>0.64</v>
      </c>
      <c r="G227" s="132">
        <f t="shared" si="34"/>
        <v>0.64</v>
      </c>
      <c r="H227" s="132">
        <f t="shared" si="34"/>
        <v>0.64</v>
      </c>
      <c r="I227" s="132">
        <f t="shared" si="34"/>
        <v>0.64</v>
      </c>
      <c r="J227" s="132">
        <f t="shared" si="34"/>
        <v>0.64</v>
      </c>
      <c r="K227" s="132">
        <f t="shared" si="34"/>
        <v>0.64</v>
      </c>
      <c r="L227" s="132">
        <f t="shared" si="34"/>
        <v>0.64</v>
      </c>
      <c r="M227" s="132">
        <f t="shared" si="34"/>
        <v>0.64</v>
      </c>
      <c r="N227" s="132">
        <f t="shared" si="34"/>
        <v>0.64</v>
      </c>
      <c r="O227" s="132">
        <f t="shared" si="34"/>
        <v>0.64</v>
      </c>
      <c r="P227" s="132">
        <f t="shared" si="34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5">SUM(B222:B227)</f>
        <v>0</v>
      </c>
      <c r="C228" s="136">
        <f t="shared" si="35"/>
        <v>3.54</v>
      </c>
      <c r="D228" s="136">
        <f t="shared" si="35"/>
        <v>3.54</v>
      </c>
      <c r="E228" s="136">
        <f t="shared" si="35"/>
        <v>3.54</v>
      </c>
      <c r="F228" s="136">
        <f t="shared" si="35"/>
        <v>3.54</v>
      </c>
      <c r="G228" s="136">
        <f t="shared" si="35"/>
        <v>3.54</v>
      </c>
      <c r="H228" s="136">
        <f t="shared" si="35"/>
        <v>3.54</v>
      </c>
      <c r="I228" s="136">
        <f t="shared" ca="1" si="35"/>
        <v>3.54</v>
      </c>
      <c r="J228" s="136">
        <f t="shared" ca="1" si="35"/>
        <v>3.54</v>
      </c>
      <c r="K228" s="136">
        <f t="shared" ca="1" si="35"/>
        <v>3.54</v>
      </c>
      <c r="L228" s="136">
        <f t="shared" ca="1" si="35"/>
        <v>3.54</v>
      </c>
      <c r="M228" s="136">
        <f t="shared" ca="1" si="35"/>
        <v>3.54</v>
      </c>
      <c r="N228" s="136">
        <f t="shared" ca="1" si="35"/>
        <v>3.54</v>
      </c>
      <c r="O228" s="136">
        <f t="shared" ca="1" si="35"/>
        <v>3.54</v>
      </c>
      <c r="P228" s="136">
        <f t="shared" ca="1" si="35"/>
        <v>3.54</v>
      </c>
      <c r="Q228" s="136">
        <f t="shared" si="35"/>
        <v>0</v>
      </c>
      <c r="R228" s="136">
        <f t="shared" si="35"/>
        <v>0</v>
      </c>
      <c r="S228" s="136">
        <f t="shared" si="35"/>
        <v>0</v>
      </c>
      <c r="T228" s="136">
        <f t="shared" si="35"/>
        <v>0</v>
      </c>
      <c r="U228" s="136">
        <f t="shared" si="35"/>
        <v>0</v>
      </c>
      <c r="V228" s="136">
        <f t="shared" si="35"/>
        <v>0</v>
      </c>
      <c r="W228" s="136">
        <f t="shared" si="35"/>
        <v>0</v>
      </c>
      <c r="X228" s="136">
        <f t="shared" si="35"/>
        <v>0</v>
      </c>
      <c r="Y228" s="136">
        <f t="shared" si="35"/>
        <v>0</v>
      </c>
      <c r="Z228" s="136">
        <f t="shared" si="35"/>
        <v>0</v>
      </c>
      <c r="AA228" s="136">
        <f t="shared" si="35"/>
        <v>0</v>
      </c>
      <c r="AB228" s="136">
        <f t="shared" si="35"/>
        <v>0</v>
      </c>
      <c r="AC228" s="136">
        <f t="shared" si="35"/>
        <v>0</v>
      </c>
      <c r="AD228" s="136">
        <f t="shared" si="35"/>
        <v>0</v>
      </c>
      <c r="AE228" s="136">
        <f t="shared" si="35"/>
        <v>0</v>
      </c>
      <c r="AF228" s="136">
        <f t="shared" si="35"/>
        <v>0</v>
      </c>
      <c r="AG228" s="145">
        <f t="shared" si="35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1413.2400000000002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2079/11/10)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2079/11/10)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6">B85</f>
        <v>1037.94</v>
      </c>
      <c r="U242" s="170">
        <f t="shared" si="36"/>
        <v>1023.4399999999999</v>
      </c>
      <c r="V242" s="170">
        <f t="shared" si="36"/>
        <v>1007.84</v>
      </c>
      <c r="W242" s="170">
        <f t="shared" si="36"/>
        <v>994.34</v>
      </c>
      <c r="X242" s="170">
        <f t="shared" si="36"/>
        <v>1014.54</v>
      </c>
      <c r="Y242" s="170">
        <f t="shared" si="36"/>
        <v>1057.3399999999999</v>
      </c>
      <c r="Z242" s="170">
        <f t="shared" si="36"/>
        <v>1159.94</v>
      </c>
      <c r="AA242" s="170">
        <f t="shared" si="36"/>
        <v>1180.94</v>
      </c>
      <c r="AB242" s="170">
        <f t="shared" si="36"/>
        <v>1257.94</v>
      </c>
      <c r="AC242" s="170">
        <f t="shared" si="36"/>
        <v>1337.1399999999999</v>
      </c>
      <c r="AD242" s="170">
        <f t="shared" si="36"/>
        <v>1413.2400000000002</v>
      </c>
      <c r="AE242" s="170">
        <f t="shared" si="36"/>
        <v>1403.44</v>
      </c>
      <c r="AF242" s="170">
        <f t="shared" si="36"/>
        <v>1339.8400000000001</v>
      </c>
      <c r="AG242" s="170">
        <f t="shared" si="36"/>
        <v>1331.54</v>
      </c>
      <c r="AH242" s="170">
        <f t="shared" si="36"/>
        <v>1279.24</v>
      </c>
      <c r="AI242" s="170">
        <f t="shared" si="36"/>
        <v>1189.8400000000001</v>
      </c>
      <c r="AJ242" s="170">
        <f t="shared" si="36"/>
        <v>1191.6399999999999</v>
      </c>
      <c r="AK242" s="170">
        <f t="shared" si="36"/>
        <v>1269.6399999999999</v>
      </c>
      <c r="AL242" s="170">
        <f t="shared" si="36"/>
        <v>1312.8400000000001</v>
      </c>
      <c r="AM242" s="170">
        <f t="shared" si="36"/>
        <v>1336.8400000000001</v>
      </c>
      <c r="AN242" s="170">
        <f t="shared" si="36"/>
        <v>1208.94</v>
      </c>
      <c r="AO242" s="170">
        <f t="shared" si="36"/>
        <v>1306.24</v>
      </c>
      <c r="AP242" s="170">
        <f t="shared" si="36"/>
        <v>1378.8400000000001</v>
      </c>
      <c r="AQ242" s="170">
        <f t="shared" si="36"/>
        <v>1494.1399999999999</v>
      </c>
      <c r="AR242" s="170">
        <f t="shared" si="36"/>
        <v>1473.14</v>
      </c>
      <c r="AS242" s="170">
        <f t="shared" si="36"/>
        <v>1417.74</v>
      </c>
      <c r="AT242" s="170">
        <f t="shared" si="36"/>
        <v>1333.04</v>
      </c>
      <c r="AU242" s="170">
        <f t="shared" si="36"/>
        <v>1309.6400000000001</v>
      </c>
      <c r="AV242" s="170">
        <f t="shared" si="36"/>
        <v>1103.3399999999999</v>
      </c>
      <c r="AW242" s="170">
        <f t="shared" si="36"/>
        <v>1063.3399999999999</v>
      </c>
      <c r="AX242" s="170">
        <f t="shared" si="36"/>
        <v>992.34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7">C227</f>
        <v>0.64</v>
      </c>
      <c r="C263" s="173">
        <f t="shared" si="37"/>
        <v>0.64</v>
      </c>
      <c r="D263" s="173">
        <f t="shared" si="37"/>
        <v>0.64</v>
      </c>
      <c r="E263" s="173">
        <f t="shared" si="37"/>
        <v>0.64</v>
      </c>
      <c r="F263" s="173">
        <f t="shared" si="37"/>
        <v>0.64</v>
      </c>
      <c r="G263" s="173">
        <f t="shared" si="37"/>
        <v>0.64</v>
      </c>
      <c r="H263" s="173">
        <f t="shared" si="37"/>
        <v>0.64</v>
      </c>
      <c r="I263" s="173">
        <f t="shared" si="37"/>
        <v>0.64</v>
      </c>
      <c r="J263" s="173">
        <f t="shared" si="37"/>
        <v>0.64</v>
      </c>
      <c r="K263" s="173">
        <f t="shared" si="37"/>
        <v>0.64</v>
      </c>
      <c r="L263" s="173">
        <f t="shared" si="37"/>
        <v>0.64</v>
      </c>
      <c r="M263" s="173">
        <f t="shared" si="37"/>
        <v>0.64</v>
      </c>
      <c r="N263" s="173">
        <f t="shared" si="37"/>
        <v>0.64</v>
      </c>
      <c r="O263" s="173">
        <f t="shared" si="37"/>
        <v>0.64</v>
      </c>
      <c r="P263" s="173">
        <f t="shared" si="37"/>
        <v>0</v>
      </c>
      <c r="Q263" s="173">
        <f t="shared" si="37"/>
        <v>0</v>
      </c>
      <c r="R263" s="173">
        <f t="shared" si="37"/>
        <v>0</v>
      </c>
      <c r="S263" s="173">
        <f t="shared" si="37"/>
        <v>0</v>
      </c>
      <c r="T263" s="173">
        <f t="shared" si="37"/>
        <v>0</v>
      </c>
      <c r="U263" s="173">
        <f t="shared" si="37"/>
        <v>0</v>
      </c>
      <c r="V263" s="173">
        <f t="shared" si="37"/>
        <v>0</v>
      </c>
      <c r="W263" s="173">
        <f t="shared" si="37"/>
        <v>0</v>
      </c>
      <c r="X263" s="173">
        <f t="shared" si="37"/>
        <v>0</v>
      </c>
      <c r="Y263" s="173">
        <f t="shared" si="37"/>
        <v>0</v>
      </c>
      <c r="Z263" s="173">
        <f t="shared" si="37"/>
        <v>0</v>
      </c>
      <c r="AA263" s="173">
        <f t="shared" si="37"/>
        <v>0</v>
      </c>
      <c r="AB263" s="173">
        <f t="shared" si="37"/>
        <v>0</v>
      </c>
      <c r="AC263" s="173">
        <f t="shared" si="37"/>
        <v>0</v>
      </c>
      <c r="AD263" s="173">
        <f t="shared" si="37"/>
        <v>0</v>
      </c>
      <c r="AE263" s="173">
        <f t="shared" si="37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8">IF(B231&lt;100,"",B231-520)</f>
        <v/>
      </c>
      <c r="C264" s="174" t="str">
        <f t="shared" si="38"/>
        <v/>
      </c>
      <c r="D264" s="174" t="str">
        <f t="shared" si="38"/>
        <v/>
      </c>
      <c r="E264" s="174" t="str">
        <f t="shared" si="38"/>
        <v/>
      </c>
      <c r="F264" s="174" t="str">
        <f t="shared" si="38"/>
        <v/>
      </c>
      <c r="G264" s="174" t="str">
        <f t="shared" si="38"/>
        <v/>
      </c>
      <c r="H264" s="174" t="str">
        <f t="shared" si="38"/>
        <v/>
      </c>
      <c r="I264" s="174" t="str">
        <f t="shared" si="38"/>
        <v/>
      </c>
      <c r="J264" s="174" t="str">
        <f t="shared" si="38"/>
        <v/>
      </c>
      <c r="K264" s="174" t="str">
        <f t="shared" si="38"/>
        <v/>
      </c>
      <c r="L264" s="174" t="str">
        <f t="shared" si="38"/>
        <v/>
      </c>
      <c r="M264" s="174" t="str">
        <f t="shared" si="38"/>
        <v/>
      </c>
      <c r="N264" s="174" t="str">
        <f t="shared" si="38"/>
        <v/>
      </c>
      <c r="O264" s="174" t="str">
        <f t="shared" si="38"/>
        <v/>
      </c>
      <c r="P264" s="174" t="str">
        <f t="shared" si="38"/>
        <v/>
      </c>
      <c r="Q264" s="174" t="str">
        <f t="shared" si="38"/>
        <v/>
      </c>
      <c r="R264" s="174" t="str">
        <f t="shared" si="38"/>
        <v/>
      </c>
      <c r="S264" s="174" t="str">
        <f t="shared" si="38"/>
        <v/>
      </c>
      <c r="T264" s="174" t="str">
        <f t="shared" si="38"/>
        <v/>
      </c>
      <c r="U264" s="174" t="str">
        <f t="shared" si="38"/>
        <v/>
      </c>
      <c r="V264" s="174" t="str">
        <f t="shared" si="38"/>
        <v/>
      </c>
      <c r="W264" s="174" t="str">
        <f t="shared" si="38"/>
        <v/>
      </c>
      <c r="X264" s="174" t="str">
        <f t="shared" si="38"/>
        <v/>
      </c>
      <c r="Y264" s="174" t="str">
        <f t="shared" si="38"/>
        <v/>
      </c>
      <c r="Z264" s="174" t="str">
        <f t="shared" si="38"/>
        <v/>
      </c>
      <c r="AA264" s="174" t="str">
        <f t="shared" si="38"/>
        <v/>
      </c>
      <c r="AB264" s="174" t="str">
        <f t="shared" si="38"/>
        <v/>
      </c>
      <c r="AC264" s="174" t="str">
        <f t="shared" si="38"/>
        <v/>
      </c>
      <c r="AD264" s="174" t="str">
        <f t="shared" si="38"/>
        <v/>
      </c>
      <c r="AE264" s="174" t="str">
        <f t="shared" si="38"/>
        <v/>
      </c>
      <c r="AF264" s="174" t="str">
        <f t="shared" si="38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9">IF(B232&lt;100,"",B232-620)</f>
        <v/>
      </c>
      <c r="C265" s="174" t="str">
        <f t="shared" si="39"/>
        <v/>
      </c>
      <c r="D265" s="174" t="str">
        <f t="shared" si="39"/>
        <v/>
      </c>
      <c r="E265" s="174" t="str">
        <f t="shared" si="39"/>
        <v/>
      </c>
      <c r="F265" s="174" t="str">
        <f t="shared" si="39"/>
        <v/>
      </c>
      <c r="G265" s="174" t="str">
        <f t="shared" si="39"/>
        <v/>
      </c>
      <c r="H265" s="174" t="str">
        <f t="shared" si="39"/>
        <v/>
      </c>
      <c r="I265" s="174" t="str">
        <f t="shared" si="39"/>
        <v/>
      </c>
      <c r="J265" s="174" t="str">
        <f t="shared" si="39"/>
        <v/>
      </c>
      <c r="K265" s="174" t="str">
        <f t="shared" si="39"/>
        <v/>
      </c>
      <c r="L265" s="174" t="str">
        <f t="shared" si="39"/>
        <v/>
      </c>
      <c r="M265" s="174" t="str">
        <f t="shared" si="39"/>
        <v/>
      </c>
      <c r="N265" s="174" t="str">
        <f t="shared" si="39"/>
        <v/>
      </c>
      <c r="O265" s="174" t="str">
        <f t="shared" si="39"/>
        <v/>
      </c>
      <c r="P265" s="174" t="str">
        <f t="shared" si="39"/>
        <v/>
      </c>
      <c r="Q265" s="174" t="str">
        <f t="shared" si="39"/>
        <v/>
      </c>
      <c r="R265" s="174" t="str">
        <f t="shared" si="39"/>
        <v/>
      </c>
      <c r="S265" s="174" t="str">
        <f t="shared" si="39"/>
        <v/>
      </c>
      <c r="T265" s="174" t="str">
        <f t="shared" si="39"/>
        <v/>
      </c>
      <c r="U265" s="174" t="str">
        <f t="shared" si="39"/>
        <v/>
      </c>
      <c r="V265" s="174" t="str">
        <f t="shared" si="39"/>
        <v/>
      </c>
      <c r="W265" s="174" t="str">
        <f t="shared" si="39"/>
        <v/>
      </c>
      <c r="X265" s="174" t="str">
        <f t="shared" si="39"/>
        <v/>
      </c>
      <c r="Y265" s="174" t="str">
        <f t="shared" si="39"/>
        <v/>
      </c>
      <c r="Z265" s="174" t="str">
        <f t="shared" si="39"/>
        <v/>
      </c>
      <c r="AA265" s="174" t="str">
        <f t="shared" si="39"/>
        <v/>
      </c>
      <c r="AB265" s="174" t="str">
        <f t="shared" si="39"/>
        <v/>
      </c>
      <c r="AC265" s="174" t="str">
        <f t="shared" si="39"/>
        <v/>
      </c>
      <c r="AD265" s="174" t="str">
        <f t="shared" si="39"/>
        <v/>
      </c>
      <c r="AE265" s="174" t="str">
        <f t="shared" si="39"/>
        <v/>
      </c>
      <c r="AF265" s="174" t="str">
        <f t="shared" si="39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40">IF(B233&lt;100,"",B233-330)</f>
        <v/>
      </c>
      <c r="C266" s="174" t="str">
        <f t="shared" si="40"/>
        <v/>
      </c>
      <c r="D266" s="174" t="str">
        <f t="shared" si="40"/>
        <v/>
      </c>
      <c r="E266" s="174" t="str">
        <f t="shared" si="40"/>
        <v/>
      </c>
      <c r="F266" s="174" t="str">
        <f t="shared" si="40"/>
        <v/>
      </c>
      <c r="G266" s="174" t="str">
        <f t="shared" si="40"/>
        <v/>
      </c>
      <c r="H266" s="174" t="str">
        <f t="shared" si="40"/>
        <v/>
      </c>
      <c r="I266" s="174" t="str">
        <f t="shared" si="40"/>
        <v/>
      </c>
      <c r="J266" s="174" t="str">
        <f t="shared" si="40"/>
        <v/>
      </c>
      <c r="K266" s="174" t="str">
        <f t="shared" si="40"/>
        <v/>
      </c>
      <c r="L266" s="174" t="str">
        <f t="shared" si="40"/>
        <v/>
      </c>
      <c r="M266" s="174" t="str">
        <f t="shared" si="40"/>
        <v/>
      </c>
      <c r="N266" s="174" t="str">
        <f t="shared" si="40"/>
        <v/>
      </c>
      <c r="O266" s="174" t="str">
        <f t="shared" si="40"/>
        <v/>
      </c>
      <c r="P266" s="174" t="str">
        <f t="shared" si="40"/>
        <v/>
      </c>
      <c r="Q266" s="174" t="str">
        <f t="shared" si="40"/>
        <v/>
      </c>
      <c r="R266" s="174" t="str">
        <f t="shared" si="40"/>
        <v/>
      </c>
      <c r="S266" s="174" t="str">
        <f t="shared" si="40"/>
        <v/>
      </c>
      <c r="T266" s="174" t="str">
        <f t="shared" si="40"/>
        <v/>
      </c>
      <c r="U266" s="174" t="str">
        <f t="shared" si="40"/>
        <v/>
      </c>
      <c r="V266" s="174" t="str">
        <f t="shared" si="40"/>
        <v/>
      </c>
      <c r="W266" s="174" t="str">
        <f t="shared" si="40"/>
        <v/>
      </c>
      <c r="X266" s="174" t="str">
        <f t="shared" si="40"/>
        <v/>
      </c>
      <c r="Y266" s="174" t="str">
        <f t="shared" si="40"/>
        <v/>
      </c>
      <c r="Z266" s="174" t="str">
        <f t="shared" si="40"/>
        <v/>
      </c>
      <c r="AA266" s="174" t="str">
        <f t="shared" si="40"/>
        <v/>
      </c>
      <c r="AB266" s="174" t="str">
        <f t="shared" si="40"/>
        <v/>
      </c>
      <c r="AC266" s="174" t="str">
        <f t="shared" si="40"/>
        <v/>
      </c>
      <c r="AD266" s="174" t="str">
        <f t="shared" si="40"/>
        <v/>
      </c>
      <c r="AE266" s="174" t="str">
        <f t="shared" si="40"/>
        <v/>
      </c>
      <c r="AF266" s="174" t="str">
        <f t="shared" si="40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1">IF(B234&lt;100,"",B234-1500)</f>
        <v/>
      </c>
      <c r="C267" s="174" t="str">
        <f t="shared" si="41"/>
        <v/>
      </c>
      <c r="D267" s="174" t="str">
        <f t="shared" si="41"/>
        <v/>
      </c>
      <c r="E267" s="174" t="str">
        <f t="shared" si="41"/>
        <v/>
      </c>
      <c r="F267" s="174" t="str">
        <f t="shared" si="41"/>
        <v/>
      </c>
      <c r="G267" s="174" t="str">
        <f t="shared" si="41"/>
        <v/>
      </c>
      <c r="H267" s="174" t="str">
        <f t="shared" si="41"/>
        <v/>
      </c>
      <c r="I267" s="174" t="str">
        <f t="shared" si="41"/>
        <v/>
      </c>
      <c r="J267" s="174" t="str">
        <f t="shared" si="41"/>
        <v/>
      </c>
      <c r="K267" s="174" t="str">
        <f t="shared" si="41"/>
        <v/>
      </c>
      <c r="L267" s="174" t="str">
        <f t="shared" si="41"/>
        <v/>
      </c>
      <c r="M267" s="174" t="str">
        <f t="shared" si="41"/>
        <v/>
      </c>
      <c r="N267" s="174" t="str">
        <f t="shared" si="41"/>
        <v/>
      </c>
      <c r="O267" s="174" t="str">
        <f t="shared" si="41"/>
        <v/>
      </c>
      <c r="P267" s="174" t="str">
        <f t="shared" si="41"/>
        <v/>
      </c>
      <c r="Q267" s="174" t="str">
        <f t="shared" si="41"/>
        <v/>
      </c>
      <c r="R267" s="174" t="str">
        <f t="shared" si="41"/>
        <v/>
      </c>
      <c r="S267" s="174" t="str">
        <f t="shared" si="41"/>
        <v/>
      </c>
      <c r="T267" s="174" t="str">
        <f t="shared" si="41"/>
        <v/>
      </c>
      <c r="U267" s="174" t="str">
        <f t="shared" si="41"/>
        <v/>
      </c>
      <c r="V267" s="174" t="str">
        <f t="shared" si="41"/>
        <v/>
      </c>
      <c r="W267" s="174" t="str">
        <f t="shared" si="41"/>
        <v/>
      </c>
      <c r="X267" s="174" t="str">
        <f t="shared" si="41"/>
        <v/>
      </c>
      <c r="Y267" s="174" t="str">
        <f t="shared" si="41"/>
        <v/>
      </c>
      <c r="Z267" s="174" t="str">
        <f t="shared" si="41"/>
        <v/>
      </c>
      <c r="AA267" s="174" t="str">
        <f t="shared" si="41"/>
        <v/>
      </c>
      <c r="AB267" s="174" t="str">
        <f t="shared" si="41"/>
        <v/>
      </c>
      <c r="AC267" s="174" t="str">
        <f t="shared" si="41"/>
        <v/>
      </c>
      <c r="AD267" s="174" t="str">
        <f t="shared" si="41"/>
        <v/>
      </c>
      <c r="AE267" s="174" t="str">
        <f t="shared" si="41"/>
        <v/>
      </c>
      <c r="AF267" s="174" t="str">
        <f t="shared" si="4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">
    <cfRule type="expression" dxfId="8727" priority="323">
      <formula>B$9&gt;=20/24</formula>
    </cfRule>
    <cfRule type="expression" dxfId="8726" priority="324">
      <formula>AND(B$9&gt;=14/24,B$9&lt;20/24)</formula>
    </cfRule>
    <cfRule type="expression" dxfId="8725" priority="325">
      <formula>AND(B$9&gt;=8/24,B$9&lt;14/24)</formula>
    </cfRule>
    <cfRule type="expression" dxfId="8724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G61">
    <cfRule type="expression" dxfId="8723" priority="321">
      <formula>AG61&gt;$AG61</formula>
    </cfRule>
  </conditionalFormatting>
  <conditionalFormatting sqref="A95:A105 A55:A82 A91:A93 A198:A228 A42:A53 A114:A185 A38:A39 A87:A89 A84:A85 A107:A109 A35:A36 A17:A18 A11:A15 A20:A33">
    <cfRule type="expression" dxfId="8722" priority="320">
      <formula>$AH11=0</formula>
    </cfRule>
  </conditionalFormatting>
  <conditionalFormatting sqref="A110">
    <cfRule type="expression" dxfId="8721" priority="319">
      <formula>$AH110=0</formula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8720" priority="317">
      <formula>$AH41=0</formula>
    </cfRule>
  </conditionalFormatting>
  <conditionalFormatting sqref="A94">
    <cfRule type="expression" dxfId="8719" priority="316">
      <formula>$AH94=0</formula>
    </cfRule>
  </conditionalFormatting>
  <conditionalFormatting sqref="A16">
    <cfRule type="expression" dxfId="8718" priority="315">
      <formula>$AH16=0</formula>
    </cfRule>
  </conditionalFormatting>
  <conditionalFormatting sqref="A192:A197">
    <cfRule type="expression" dxfId="8717" priority="314">
      <formula>$AH192=0</formula>
    </cfRule>
  </conditionalFormatting>
  <conditionalFormatting sqref="A186:A191">
    <cfRule type="expression" dxfId="8716" priority="313">
      <formula>$AH186=0</formula>
    </cfRule>
  </conditionalFormatting>
  <conditionalFormatting sqref="A54">
    <cfRule type="expression" dxfId="8715" priority="312">
      <formula>$AH54=0</formula>
    </cfRule>
  </conditionalFormatting>
  <conditionalFormatting sqref="A90">
    <cfRule type="expression" dxfId="8714" priority="311">
      <formula>$AH90=0</formula>
    </cfRule>
  </conditionalFormatting>
  <conditionalFormatting sqref="AD95:AF95 E95:X95">
    <cfRule type="expression" dxfId="8713" priority="307">
      <formula>E$9&gt;=20/24</formula>
    </cfRule>
    <cfRule type="expression" dxfId="8712" priority="308">
      <formula>AND(E$9&gt;=14/24,E$9&lt;20/24)</formula>
    </cfRule>
    <cfRule type="expression" dxfId="8711" priority="309">
      <formula>AND(E$9&gt;=8/24,E$9&lt;14/24)</formula>
    </cfRule>
    <cfRule type="expression" dxfId="8710" priority="310">
      <formula>E$9&lt;8/24</formula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709" priority="329">
      <formula>C$9&gt;=20/24</formula>
    </cfRule>
    <cfRule type="expression" dxfId="8708" priority="330">
      <formula>AND(C$9&gt;=14/24,C$9&lt;20/24)</formula>
    </cfRule>
    <cfRule type="expression" dxfId="8707" priority="331">
      <formula>AND(C$9&gt;=8/24,C$9&lt;14/24)</formula>
    </cfRule>
    <cfRule type="expression" dxfId="8706" priority="332">
      <formula>C$9&lt;8/24</formula>
    </cfRule>
  </conditionalFormatting>
  <conditionalFormatting sqref="A229">
    <cfRule type="expression" dxfId="8705" priority="333">
      <formula>$AH229=0</formula>
    </cfRule>
  </conditionalFormatting>
  <conditionalFormatting sqref="AG241">
    <cfRule type="expression" dxfId="8704" priority="334">
      <formula>B$9&gt;=20/24</formula>
    </cfRule>
    <cfRule type="expression" dxfId="8703" priority="335">
      <formula>AND(B$9&gt;=14/24,B$9&lt;20/24)</formula>
    </cfRule>
    <cfRule type="expression" dxfId="8702" priority="336">
      <formula>AND(B$9&gt;=8/24,B$9&lt;14/24)</formula>
    </cfRule>
    <cfRule type="expression" dxfId="8701" priority="337">
      <formula>B$9&lt;8/24</formula>
    </cfRule>
  </conditionalFormatting>
  <conditionalFormatting sqref="S8">
    <cfRule type="expression" dxfId="8700" priority="302">
      <formula>U$9&gt;=20/24</formula>
    </cfRule>
    <cfRule type="expression" dxfId="8699" priority="303">
      <formula>AND(U$9&gt;=14/24,U$9&lt;20/24)</formula>
    </cfRule>
    <cfRule type="expression" dxfId="8698" priority="304">
      <formula>AND(U$9&gt;=8/24,U$9&lt;14/24)</formula>
    </cfRule>
    <cfRule type="expression" dxfId="8697" priority="305">
      <formula>U$9&lt;8/24</formula>
    </cfRule>
  </conditionalFormatting>
  <conditionalFormatting sqref="AB8">
    <cfRule type="expression" dxfId="8696" priority="298">
      <formula>AD$9&gt;=20/24</formula>
    </cfRule>
    <cfRule type="expression" dxfId="8695" priority="299">
      <formula>AND(AD$9&gt;=14/24,AD$9&lt;20/24)</formula>
    </cfRule>
    <cfRule type="expression" dxfId="8694" priority="300">
      <formula>AND(AD$9&gt;=8/24,AD$9&lt;14/24)</formula>
    </cfRule>
    <cfRule type="expression" dxfId="8693" priority="301">
      <formula>AD$9&lt;8/24</formula>
    </cfRule>
  </conditionalFormatting>
  <conditionalFormatting sqref="AH241:AX241">
    <cfRule type="expression" dxfId="8692" priority="338">
      <formula>AG$9&gt;=20/24</formula>
    </cfRule>
    <cfRule type="expression" dxfId="8691" priority="339">
      <formula>AND(AG$9&gt;=14/24,AG$9&lt;20/24)</formula>
    </cfRule>
    <cfRule type="expression" dxfId="8690" priority="340">
      <formula>AND(AG$9&gt;=8/24,AG$9&lt;14/24)</formula>
    </cfRule>
    <cfRule type="expression" dxfId="8689" priority="341">
      <formula>AG$9&lt;8/24</formula>
    </cfRule>
  </conditionalFormatting>
  <conditionalFormatting sqref="T241">
    <cfRule type="expression" dxfId="8688" priority="342">
      <formula>AX$9&gt;=20/24</formula>
    </cfRule>
    <cfRule type="expression" dxfId="8687" priority="343">
      <formula>AND(AX$9&gt;=14/24,AX$9&lt;20/24)</formula>
    </cfRule>
    <cfRule type="expression" dxfId="8686" priority="344">
      <formula>AND(AX$9&gt;=8/24,AX$9&lt;14/24)</formula>
    </cfRule>
    <cfRule type="expression" dxfId="8685" priority="345">
      <formula>AX$9&lt;8/24</formula>
    </cfRule>
  </conditionalFormatting>
  <conditionalFormatting sqref="A111:A112">
    <cfRule type="expression" dxfId="8684" priority="297">
      <formula>$AH111=0</formula>
    </cfRule>
  </conditionalFormatting>
  <conditionalFormatting sqref="M50:Q56 R54:W56 X52:AF53 X55:AF56 E67:AF67">
    <cfRule type="expression" dxfId="8683" priority="293">
      <formula>E$9&gt;=20/24</formula>
    </cfRule>
    <cfRule type="expression" dxfId="8682" priority="294">
      <formula>AND(E$9&gt;=14/24,E$9&lt;20/24)</formula>
    </cfRule>
    <cfRule type="expression" dxfId="8681" priority="295">
      <formula>AND(E$9&gt;=8/24,E$9&lt;14/24)</formula>
    </cfRule>
    <cfRule type="expression" dxfId="8680" priority="296">
      <formula>E$9&lt;8/24</formula>
    </cfRule>
  </conditionalFormatting>
  <conditionalFormatting sqref="M49:Q49 AB49:AF49">
    <cfRule type="expression" dxfId="8679" priority="289">
      <formula>M$9&gt;=20/24</formula>
    </cfRule>
    <cfRule type="expression" dxfId="8678" priority="290">
      <formula>AND(M$9&gt;=14/24,M$9&lt;20/24)</formula>
    </cfRule>
    <cfRule type="expression" dxfId="8677" priority="291">
      <formula>AND(M$9&gt;=8/24,M$9&lt;14/24)</formula>
    </cfRule>
    <cfRule type="expression" dxfId="8676" priority="292">
      <formula>M$9&lt;8/24</formula>
    </cfRule>
  </conditionalFormatting>
  <conditionalFormatting sqref="M49:Q56 R54:W56 AB49:AF49 X52:AF53 X55:AF56">
    <cfRule type="expression" dxfId="8675" priority="288">
      <formula>M49&gt;$AG49</formula>
    </cfRule>
  </conditionalFormatting>
  <conditionalFormatting sqref="D82:AF82 X43:AF43 X92:AF92 AD96:AF102 M96:X102 X63:AF65 E68:AF69">
    <cfRule type="expression" dxfId="8674" priority="284">
      <formula>D$9&gt;=20/24</formula>
    </cfRule>
    <cfRule type="expression" dxfId="8673" priority="285">
      <formula>AND(D$9&gt;=14/24,D$9&lt;20/24)</formula>
    </cfRule>
    <cfRule type="expression" dxfId="8672" priority="286">
      <formula>AND(D$9&gt;=8/24,D$9&lt;14/24)</formula>
    </cfRule>
    <cfRule type="expression" dxfId="8671" priority="287">
      <formula>D$9&lt;8/24</formula>
    </cfRule>
  </conditionalFormatting>
  <conditionalFormatting sqref="X43:AF43 X63:AF65">
    <cfRule type="expression" dxfId="8670" priority="283">
      <formula>X43&gt;$AG43</formula>
    </cfRule>
  </conditionalFormatting>
  <conditionalFormatting sqref="R49:W53 X49:AA51 AB50:AF51">
    <cfRule type="expression" dxfId="8669" priority="279">
      <formula>R$9&gt;=20/24</formula>
    </cfRule>
    <cfRule type="expression" dxfId="8668" priority="280">
      <formula>AND(R$9&gt;=14/24,R$9&lt;20/24)</formula>
    </cfRule>
    <cfRule type="expression" dxfId="8667" priority="281">
      <formula>AND(R$9&gt;=8/24,R$9&lt;14/24)</formula>
    </cfRule>
    <cfRule type="expression" dxfId="8666" priority="282">
      <formula>R$9&lt;8/24</formula>
    </cfRule>
  </conditionalFormatting>
  <conditionalFormatting sqref="R49:W53 X49:AA51 AB50:AF51">
    <cfRule type="expression" dxfId="8665" priority="278">
      <formula>R49&gt;$AG49</formula>
    </cfRule>
  </conditionalFormatting>
  <conditionalFormatting sqref="C93:AF93 C84:AF84">
    <cfRule type="expression" dxfId="8664" priority="274">
      <formula>C$9&gt;=20/24</formula>
    </cfRule>
    <cfRule type="expression" dxfId="8663" priority="275">
      <formula>AND(C$9&gt;=14/24,C$9&lt;20/24)</formula>
    </cfRule>
    <cfRule type="expression" dxfId="8662" priority="276">
      <formula>AND(C$9&gt;=8/24,C$9&lt;14/24)</formula>
    </cfRule>
    <cfRule type="expression" dxfId="8661" priority="277">
      <formula>C$9&lt;8/24</formula>
    </cfRule>
  </conditionalFormatting>
  <conditionalFormatting sqref="T43:W43">
    <cfRule type="expression" dxfId="8660" priority="270">
      <formula>T$9&gt;=20/24</formula>
    </cfRule>
    <cfRule type="expression" dxfId="8659" priority="271">
      <formula>AND(T$9&gt;=14/24,T$9&lt;20/24)</formula>
    </cfRule>
    <cfRule type="expression" dxfId="8658" priority="272">
      <formula>AND(T$9&gt;=8/24,T$9&lt;14/24)</formula>
    </cfRule>
    <cfRule type="expression" dxfId="8657" priority="273">
      <formula>T$9&lt;8/24</formula>
    </cfRule>
  </conditionalFormatting>
  <conditionalFormatting sqref="T43:W43">
    <cfRule type="expression" dxfId="8656" priority="269">
      <formula>T43&gt;$AG43</formula>
    </cfRule>
  </conditionalFormatting>
  <conditionalFormatting sqref="E50:L51">
    <cfRule type="expression" dxfId="8655" priority="265">
      <formula>E$9&gt;=20/24</formula>
    </cfRule>
    <cfRule type="expression" dxfId="8654" priority="266">
      <formula>AND(E$9&gt;=14/24,E$9&lt;20/24)</formula>
    </cfRule>
    <cfRule type="expression" dxfId="8653" priority="267">
      <formula>AND(E$9&gt;=8/24,E$9&lt;14/24)</formula>
    </cfRule>
    <cfRule type="expression" dxfId="8652" priority="268">
      <formula>E$9&lt;8/24</formula>
    </cfRule>
  </conditionalFormatting>
  <conditionalFormatting sqref="E49:L49">
    <cfRule type="expression" dxfId="8651" priority="261">
      <formula>E$9&gt;=20/24</formula>
    </cfRule>
    <cfRule type="expression" dxfId="8650" priority="262">
      <formula>AND(E$9&gt;=14/24,E$9&lt;20/24)</formula>
    </cfRule>
    <cfRule type="expression" dxfId="8649" priority="263">
      <formula>AND(E$9&gt;=8/24,E$9&lt;14/24)</formula>
    </cfRule>
    <cfRule type="expression" dxfId="8648" priority="264">
      <formula>E$9&lt;8/24</formula>
    </cfRule>
  </conditionalFormatting>
  <conditionalFormatting sqref="E49:L51">
    <cfRule type="expression" dxfId="8647" priority="260">
      <formula>E49&gt;$AG49</formula>
    </cfRule>
  </conditionalFormatting>
  <conditionalFormatting sqref="AG66 AG83 H96:L102 Q63:W65">
    <cfRule type="expression" dxfId="8646" priority="256">
      <formula>H$9&gt;=20/24</formula>
    </cfRule>
    <cfRule type="expression" dxfId="8645" priority="257">
      <formula>AND(H$9&gt;=14/24,H$9&lt;20/24)</formula>
    </cfRule>
    <cfRule type="expression" dxfId="8644" priority="258">
      <formula>AND(H$9&gt;=8/24,H$9&lt;14/24)</formula>
    </cfRule>
    <cfRule type="expression" dxfId="8643" priority="259">
      <formula>H$9&lt;8/24</formula>
    </cfRule>
  </conditionalFormatting>
  <conditionalFormatting sqref="AG44 AG62 AG66 Q63:W65">
    <cfRule type="expression" dxfId="8642" priority="255">
      <formula>Q44&gt;$AG44</formula>
    </cfRule>
  </conditionalFormatting>
  <conditionalFormatting sqref="X54:AF54">
    <cfRule type="expression" dxfId="8641" priority="251">
      <formula>X$9&gt;=20/24</formula>
    </cfRule>
    <cfRule type="expression" dxfId="8640" priority="252">
      <formula>AND(X$9&gt;=14/24,X$9&lt;20/24)</formula>
    </cfRule>
    <cfRule type="expression" dxfId="8639" priority="253">
      <formula>AND(X$9&gt;=8/24,X$9&lt;14/24)</formula>
    </cfRule>
    <cfRule type="expression" dxfId="8638" priority="254">
      <formula>X$9&lt;8/24</formula>
    </cfRule>
  </conditionalFormatting>
  <conditionalFormatting sqref="X54:AF54">
    <cfRule type="expression" dxfId="8637" priority="250">
      <formula>X54&gt;$AG54</formula>
    </cfRule>
  </conditionalFormatting>
  <conditionalFormatting sqref="A40">
    <cfRule type="expression" dxfId="8636" priority="249">
      <formula>$AH40=0</formula>
    </cfRule>
  </conditionalFormatting>
  <conditionalFormatting sqref="X87:AF91">
    <cfRule type="expression" dxfId="8635" priority="245">
      <formula>X$9&gt;=20/24</formula>
    </cfRule>
    <cfRule type="expression" dxfId="8634" priority="246">
      <formula>AND(X$9&gt;=14/24,X$9&lt;20/24)</formula>
    </cfRule>
    <cfRule type="expression" dxfId="8633" priority="247">
      <formula>AND(X$9&gt;=8/24,X$9&lt;14/24)</formula>
    </cfRule>
    <cfRule type="expression" dxfId="8632" priority="248">
      <formula>X$9&lt;8/24</formula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G45:L45 H46:L47 M45:AF47">
    <cfRule type="expression" dxfId="8631" priority="241">
      <formula>G$9&gt;=20/24</formula>
    </cfRule>
    <cfRule type="expression" dxfId="8630" priority="242">
      <formula>AND(G$9&gt;=14/24,G$9&lt;20/24)</formula>
    </cfRule>
    <cfRule type="expression" dxfId="8629" priority="243">
      <formula>AND(G$9&gt;=8/24,G$9&lt;14/24)</formula>
    </cfRule>
    <cfRule type="expression" dxfId="8628" priority="244">
      <formula>G$9&lt;8/24</formula>
    </cfRule>
  </conditionalFormatting>
  <conditionalFormatting sqref="G45:L45 H46:L47 M45:AF47">
    <cfRule type="expression" dxfId="8627" priority="240">
      <formula>G45&gt;$AG45</formula>
    </cfRule>
  </conditionalFormatting>
  <conditionalFormatting sqref="AG48">
    <cfRule type="expression" dxfId="8626" priority="236">
      <formula>AG$9&gt;=20/24</formula>
    </cfRule>
    <cfRule type="expression" dxfId="8625" priority="237">
      <formula>AND(AG$9&gt;=14/24,AG$9&lt;20/24)</formula>
    </cfRule>
    <cfRule type="expression" dxfId="8624" priority="238">
      <formula>AND(AG$9&gt;=8/24,AG$9&lt;14/24)</formula>
    </cfRule>
    <cfRule type="expression" dxfId="8623" priority="239">
      <formula>AG$9&lt;8/24</formula>
    </cfRule>
  </conditionalFormatting>
  <conditionalFormatting sqref="AG48">
    <cfRule type="expression" dxfId="8622" priority="235">
      <formula>AG48&gt;$AG48</formula>
    </cfRule>
  </conditionalFormatting>
  <conditionalFormatting sqref="C103:AF103">
    <cfRule type="expression" dxfId="8621" priority="231">
      <formula>C$9&gt;=20/24</formula>
    </cfRule>
    <cfRule type="expression" dxfId="8620" priority="232">
      <formula>AND(C$9&gt;=14/24,C$9&lt;20/24)</formula>
    </cfRule>
    <cfRule type="expression" dxfId="8619" priority="233">
      <formula>AND(C$9&gt;=8/24,C$9&lt;14/24)</formula>
    </cfRule>
    <cfRule type="expression" dxfId="8618" priority="234">
      <formula>C$9&lt;8/24</formula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617" priority="229">
      <formula>$AH37=0</formula>
    </cfRule>
  </conditionalFormatting>
  <conditionalFormatting sqref="A86">
    <cfRule type="expression" dxfId="8616" priority="227">
      <formula>$AH86=0</formula>
    </cfRule>
  </conditionalFormatting>
  <conditionalFormatting sqref="A83">
    <cfRule type="expression" dxfId="8615" priority="228">
      <formula>$AH83=0</formula>
    </cfRule>
  </conditionalFormatting>
  <conditionalFormatting sqref="D106:AF106">
    <cfRule type="expression" dxfId="8614" priority="215">
      <formula>D$9&gt;=20/24</formula>
    </cfRule>
    <cfRule type="expression" dxfId="8613" priority="216">
      <formula>AND(D$9&gt;=14/24,D$9&lt;20/24)</formula>
    </cfRule>
    <cfRule type="expression" dxfId="8612" priority="217">
      <formula>AND(D$9&gt;=8/24,D$9&lt;14/24)</formula>
    </cfRule>
    <cfRule type="expression" dxfId="8611" priority="218">
      <formula>D$9&lt;8/24</formula>
    </cfRule>
  </conditionalFormatting>
  <conditionalFormatting sqref="A106">
    <cfRule type="expression" dxfId="8610" priority="214">
      <formula>$AH106=0</formula>
    </cfRule>
  </conditionalFormatting>
  <conditionalFormatting sqref="A19">
    <cfRule type="expression" dxfId="8609" priority="212">
      <formula>$AH19=0</formula>
    </cfRule>
  </conditionalFormatting>
  <conditionalFormatting sqref="AL19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608" priority="210">
      <formula>$AH34=0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8607" priority="206">
      <formula>Y$9&gt;=20/24</formula>
    </cfRule>
    <cfRule type="expression" dxfId="8606" priority="207">
      <formula>AND(Y$9&gt;=14/24,Y$9&lt;20/24)</formula>
    </cfRule>
    <cfRule type="expression" dxfId="8605" priority="208">
      <formula>AND(Y$9&gt;=8/24,Y$9&lt;14/24)</formula>
    </cfRule>
    <cfRule type="expression" dxfId="8604" priority="209">
      <formula>Y$9&lt;8/24</formula>
    </cfRule>
  </conditionalFormatting>
  <conditionalFormatting sqref="Y96:AC102">
    <cfRule type="expression" dxfId="8603" priority="202">
      <formula>Y$9&gt;=20/24</formula>
    </cfRule>
    <cfRule type="expression" dxfId="8602" priority="203">
      <formula>AND(Y$9&gt;=14/24,Y$9&lt;20/24)</formula>
    </cfRule>
    <cfRule type="expression" dxfId="8601" priority="204">
      <formula>AND(Y$9&gt;=8/24,Y$9&lt;14/24)</formula>
    </cfRule>
    <cfRule type="expression" dxfId="8600" priority="205">
      <formula>Y$9&lt;8/24</formula>
    </cfRule>
  </conditionalFormatting>
  <conditionalFormatting sqref="C105 C107:C112">
    <cfRule type="expression" dxfId="8599" priority="198">
      <formula>C$9&gt;=20/24</formula>
    </cfRule>
    <cfRule type="expression" dxfId="8598" priority="199">
      <formula>AND(C$9&gt;=14/24,C$9&lt;20/24)</formula>
    </cfRule>
    <cfRule type="expression" dxfId="8597" priority="200">
      <formula>AND(C$9&gt;=8/24,C$9&lt;14/24)</formula>
    </cfRule>
    <cfRule type="expression" dxfId="8596" priority="201">
      <formula>C$9&lt;8/24</formula>
    </cfRule>
  </conditionalFormatting>
  <conditionalFormatting sqref="C43:S43">
    <cfRule type="expression" dxfId="8595" priority="194">
      <formula>C$9&gt;=20/24</formula>
    </cfRule>
    <cfRule type="expression" dxfId="8594" priority="195">
      <formula>AND(C$9&gt;=14/24,C$9&lt;20/24)</formula>
    </cfRule>
    <cfRule type="expression" dxfId="8593" priority="196">
      <formula>AND(C$9&gt;=8/24,C$9&lt;14/24)</formula>
    </cfRule>
    <cfRule type="expression" dxfId="8592" priority="197">
      <formula>C$9&lt;8/24</formula>
    </cfRule>
  </conditionalFormatting>
  <conditionalFormatting sqref="C43:S43">
    <cfRule type="expression" dxfId="8591" priority="193">
      <formula>C43&gt;$AG43</formula>
    </cfRule>
  </conditionalFormatting>
  <conditionalFormatting sqref="C95:D95">
    <cfRule type="expression" dxfId="8590" priority="189">
      <formula>C$9&gt;=20/24</formula>
    </cfRule>
    <cfRule type="expression" dxfId="8589" priority="190">
      <formula>AND(C$9&gt;=14/24,C$9&lt;20/24)</formula>
    </cfRule>
    <cfRule type="expression" dxfId="8588" priority="191">
      <formula>AND(C$9&gt;=8/24,C$9&lt;14/24)</formula>
    </cfRule>
    <cfRule type="expression" dxfId="8587" priority="192">
      <formula>C$9&lt;8/24</formula>
    </cfRule>
  </conditionalFormatting>
  <conditionalFormatting sqref="C67:D67">
    <cfRule type="expression" dxfId="8586" priority="185">
      <formula>C$9&gt;=20/24</formula>
    </cfRule>
    <cfRule type="expression" dxfId="8585" priority="186">
      <formula>AND(C$9&gt;=14/24,C$9&lt;20/24)</formula>
    </cfRule>
    <cfRule type="expression" dxfId="8584" priority="187">
      <formula>AND(C$9&gt;=8/24,C$9&lt;14/24)</formula>
    </cfRule>
    <cfRule type="expression" dxfId="8583" priority="188">
      <formula>C$9&lt;8/24</formula>
    </cfRule>
  </conditionalFormatting>
  <conditionalFormatting sqref="C49:D49">
    <cfRule type="expression" dxfId="8582" priority="181">
      <formula>C$9&gt;=20/24</formula>
    </cfRule>
    <cfRule type="expression" dxfId="8581" priority="182">
      <formula>AND(C$9&gt;=14/24,C$9&lt;20/24)</formula>
    </cfRule>
    <cfRule type="expression" dxfId="8580" priority="183">
      <formula>AND(C$9&gt;=8/24,C$9&lt;14/24)</formula>
    </cfRule>
    <cfRule type="expression" dxfId="8579" priority="184">
      <formula>C$9&lt;8/24</formula>
    </cfRule>
  </conditionalFormatting>
  <conditionalFormatting sqref="C49:D49">
    <cfRule type="expression" dxfId="8578" priority="180">
      <formula>C49&gt;$AG49</formula>
    </cfRule>
  </conditionalFormatting>
  <conditionalFormatting sqref="C82 C92:W92 C79:AF81 C68:D72 C96:G102 J63:P65 E70:AF72">
    <cfRule type="expression" dxfId="8577" priority="176">
      <formula>C$9&gt;=20/24</formula>
    </cfRule>
    <cfRule type="expression" dxfId="8576" priority="177">
      <formula>AND(C$9&gt;=14/24,C$9&lt;20/24)</formula>
    </cfRule>
    <cfRule type="expression" dxfId="8575" priority="178">
      <formula>AND(C$9&gt;=8/24,C$9&lt;14/24)</formula>
    </cfRule>
    <cfRule type="expression" dxfId="8574" priority="179">
      <formula>C$9&lt;8/24</formula>
    </cfRule>
  </conditionalFormatting>
  <conditionalFormatting sqref="E52:L52 J63:P65">
    <cfRule type="expression" dxfId="8573" priority="175">
      <formula>E52&gt;$AG52</formula>
    </cfRule>
  </conditionalFormatting>
  <conditionalFormatting sqref="C66:AF66 C83:AF83 C85:AF85 C94:AF94">
    <cfRule type="expression" dxfId="8572" priority="157">
      <formula>C$9&gt;=20/24</formula>
    </cfRule>
    <cfRule type="expression" dxfId="8571" priority="158">
      <formula>AND(C$9&gt;=14/24,C$9&lt;20/24)</formula>
    </cfRule>
    <cfRule type="expression" dxfId="8570" priority="159">
      <formula>AND(C$9&gt;=8/24,C$9&lt;14/24)</formula>
    </cfRule>
    <cfRule type="expression" dxfId="8569" priority="160">
      <formula>C$9&lt;8/24</formula>
    </cfRule>
  </conditionalFormatting>
  <conditionalFormatting sqref="C61:AF62 C66:AF66 C44:AF44">
    <cfRule type="expression" dxfId="8568" priority="156">
      <formula>C44&gt;$AG44</formula>
    </cfRule>
  </conditionalFormatting>
  <conditionalFormatting sqref="C78:AF78">
    <cfRule type="expression" dxfId="8567" priority="152">
      <formula>C$9&gt;=20/24</formula>
    </cfRule>
    <cfRule type="expression" dxfId="8566" priority="153">
      <formula>AND(C$9&gt;=14/24,C$9&lt;20/24)</formula>
    </cfRule>
    <cfRule type="expression" dxfId="8565" priority="154">
      <formula>AND(C$9&gt;=8/24,C$9&lt;14/24)</formula>
    </cfRule>
    <cfRule type="expression" dxfId="8564" priority="155">
      <formula>C$9&lt;8/24</formula>
    </cfRule>
  </conditionalFormatting>
  <conditionalFormatting sqref="C87:W91">
    <cfRule type="expression" dxfId="8563" priority="148">
      <formula>C$9&gt;=20/24</formula>
    </cfRule>
    <cfRule type="expression" dxfId="8562" priority="149">
      <formula>AND(C$9&gt;=14/24,C$9&lt;20/24)</formula>
    </cfRule>
    <cfRule type="expression" dxfId="8561" priority="150">
      <formula>AND(C$9&gt;=8/24,C$9&lt;14/24)</formula>
    </cfRule>
    <cfRule type="expression" dxfId="8560" priority="151">
      <formula>C$9&lt;8/24</formula>
    </cfRule>
  </conditionalFormatting>
  <conditionalFormatting sqref="C48:AF48">
    <cfRule type="expression" dxfId="8559" priority="139">
      <formula>C$9&gt;=20/24</formula>
    </cfRule>
    <cfRule type="expression" dxfId="8558" priority="140">
      <formula>AND(C$9&gt;=14/24,C$9&lt;20/24)</formula>
    </cfRule>
    <cfRule type="expression" dxfId="8557" priority="141">
      <formula>AND(C$9&gt;=8/24,C$9&lt;14/24)</formula>
    </cfRule>
    <cfRule type="expression" dxfId="8556" priority="142">
      <formula>C$9&lt;8/24</formula>
    </cfRule>
  </conditionalFormatting>
  <conditionalFormatting sqref="C48:AF48">
    <cfRule type="expression" dxfId="8555" priority="138">
      <formula>C48&gt;$AG48</formula>
    </cfRule>
  </conditionalFormatting>
  <conditionalFormatting sqref="C106">
    <cfRule type="expression" dxfId="8554" priority="122">
      <formula>C$9&gt;=20/24</formula>
    </cfRule>
    <cfRule type="expression" dxfId="8553" priority="123">
      <formula>AND(C$9&gt;=14/24,C$9&lt;20/24)</formula>
    </cfRule>
    <cfRule type="expression" dxfId="8552" priority="124">
      <formula>AND(C$9&gt;=8/24,C$9&lt;14/24)</formula>
    </cfRule>
    <cfRule type="expression" dxfId="8551" priority="125">
      <formula>C$9&lt;8/24</formula>
    </cfRule>
  </conditionalFormatting>
  <conditionalFormatting sqref="M57:AF60">
    <cfRule type="expression" dxfId="8550" priority="118">
      <formula>M$9&gt;=20/24</formula>
    </cfRule>
    <cfRule type="expression" dxfId="8549" priority="119">
      <formula>AND(M$9&gt;=14/24,M$9&lt;20/24)</formula>
    </cfRule>
    <cfRule type="expression" dxfId="8548" priority="120">
      <formula>AND(M$9&gt;=8/24,M$9&lt;14/24)</formula>
    </cfRule>
    <cfRule type="expression" dxfId="8547" priority="121">
      <formula>M$9&lt;8/24</formula>
    </cfRule>
  </conditionalFormatting>
  <conditionalFormatting sqref="M57:AF60">
    <cfRule type="expression" dxfId="8546" priority="117">
      <formula>M57&gt;$AG57</formula>
    </cfRule>
  </conditionalFormatting>
  <conditionalFormatting sqref="P12:AF12">
    <cfRule type="expression" dxfId="8545" priority="116">
      <formula>P12&gt;$AG12</formula>
    </cfRule>
  </conditionalFormatting>
  <conditionalFormatting sqref="T11:AF11">
    <cfRule type="expression" dxfId="8544" priority="112">
      <formula>T$9&gt;=20/24</formula>
    </cfRule>
    <cfRule type="expression" dxfId="8543" priority="113">
      <formula>AND(T$9&gt;=14/24,T$9&lt;20/24)</formula>
    </cfRule>
    <cfRule type="expression" dxfId="8542" priority="114">
      <formula>AND(T$9&gt;=8/24,T$9&lt;14/24)</formula>
    </cfRule>
    <cfRule type="expression" dxfId="8541" priority="115">
      <formula>T$9&lt;8/24</formula>
    </cfRule>
  </conditionalFormatting>
  <conditionalFormatting sqref="T11:AF11">
    <cfRule type="expression" dxfId="8540" priority="111">
      <formula>T11&gt;$AG11</formula>
    </cfRule>
  </conditionalFormatting>
  <conditionalFormatting sqref="P12:AF12">
    <cfRule type="expression" dxfId="8539" priority="107">
      <formula>P$9&gt;=20/24</formula>
    </cfRule>
    <cfRule type="expression" dxfId="8538" priority="108">
      <formula>AND(P$9&gt;=14/24,P$9&lt;20/24)</formula>
    </cfRule>
    <cfRule type="expression" dxfId="8537" priority="109">
      <formula>AND(P$9&gt;=8/24,P$9&lt;14/24)</formula>
    </cfRule>
    <cfRule type="expression" dxfId="8536" priority="110">
      <formula>P$9&lt;8/24</formula>
    </cfRule>
  </conditionalFormatting>
  <conditionalFormatting sqref="M73:AF77">
    <cfRule type="expression" dxfId="8535" priority="99">
      <formula>M$9&gt;=20/24</formula>
    </cfRule>
    <cfRule type="expression" dxfId="8534" priority="100">
      <formula>AND(M$9&gt;=14/24,M$9&lt;20/24)</formula>
    </cfRule>
    <cfRule type="expression" dxfId="8533" priority="101">
      <formula>AND(M$9&gt;=8/24,M$9&lt;14/24)</formula>
    </cfRule>
    <cfRule type="expression" dxfId="8532" priority="102">
      <formula>M$9&lt;8/24</formula>
    </cfRule>
  </conditionalFormatting>
  <conditionalFormatting sqref="AL74:AN74 AL80:AN80 AN75:AN76">
    <cfRule type="expression" dxfId="8531" priority="95">
      <formula>AL$9&gt;=20/24</formula>
    </cfRule>
    <cfRule type="expression" dxfId="8530" priority="96">
      <formula>AND(AL$9&gt;=14/24,AL$9&lt;20/24)</formula>
    </cfRule>
    <cfRule type="expression" dxfId="8529" priority="97">
      <formula>AND(AL$9&gt;=8/24,AL$9&lt;14/24)</formula>
    </cfRule>
    <cfRule type="expression" dxfId="8528" priority="98">
      <formula>AL$9&lt;8/24</formula>
    </cfRule>
  </conditionalFormatting>
  <conditionalFormatting sqref="AN77:AN78">
    <cfRule type="expression" dxfId="8527" priority="91">
      <formula>AN$9&gt;=20/24</formula>
    </cfRule>
    <cfRule type="expression" dxfId="8526" priority="92">
      <formula>AND(AN$9&gt;=14/24,AN$9&lt;20/24)</formula>
    </cfRule>
    <cfRule type="expression" dxfId="8525" priority="93">
      <formula>AND(AN$9&gt;=8/24,AN$9&lt;14/24)</formula>
    </cfRule>
    <cfRule type="expression" dxfId="8524" priority="94">
      <formula>AN$9&lt;8/24</formula>
    </cfRule>
  </conditionalFormatting>
  <conditionalFormatting sqref="AL75:AM79">
    <cfRule type="expression" dxfId="8523" priority="347">
      <formula>AJ$9&gt;=20/24</formula>
    </cfRule>
    <cfRule type="expression" dxfId="8522" priority="348">
      <formula>AND(AJ$9&gt;=14/24,AJ$9&lt;20/24)</formula>
    </cfRule>
    <cfRule type="expression" dxfId="8521" priority="349">
      <formula>AND(AJ$9&gt;=8/24,AJ$9&lt;14/24)</formula>
    </cfRule>
    <cfRule type="expression" dxfId="8520" priority="350">
      <formula>AJ$9&lt;8/24</formula>
    </cfRule>
  </conditionalFormatting>
  <conditionalFormatting sqref="A113">
    <cfRule type="expression" dxfId="8519" priority="90">
      <formula>$AH113=0</formula>
    </cfRule>
  </conditionalFormatting>
  <conditionalFormatting sqref="B105 B107:B112 B12:O41 B11:S11 P13:AF41">
    <cfRule type="expression" dxfId="8518" priority="86">
      <formula>B$9&gt;=20/24</formula>
    </cfRule>
    <cfRule type="expression" dxfId="8517" priority="87">
      <formula>AND(B$9&gt;=14/24,B$9&lt;20/24)</formula>
    </cfRule>
    <cfRule type="expression" dxfId="8516" priority="88">
      <formula>AND(B$9&gt;=8/24,B$9&lt;14/24)</formula>
    </cfRule>
    <cfRule type="expression" dxfId="8515" priority="89">
      <formula>B$9&lt;8/24</formula>
    </cfRule>
  </conditionalFormatting>
  <conditionalFormatting sqref="B12:O41 B11:S11 P13:AF41">
    <cfRule type="expression" dxfId="8514" priority="85">
      <formula>B11&gt;$AG11</formula>
    </cfRule>
  </conditionalFormatting>
  <conditionalFormatting sqref="B95">
    <cfRule type="expression" dxfId="8513" priority="81">
      <formula>B$9&gt;=20/24</formula>
    </cfRule>
    <cfRule type="expression" dxfId="8512" priority="82">
      <formula>AND(B$9&gt;=14/24,B$9&lt;20/24)</formula>
    </cfRule>
    <cfRule type="expression" dxfId="8511" priority="83">
      <formula>AND(B$9&gt;=8/24,B$9&lt;14/24)</formula>
    </cfRule>
    <cfRule type="expression" dxfId="8510" priority="84">
      <formula>B$9&lt;8/24</formula>
    </cfRule>
  </conditionalFormatting>
  <conditionalFormatting sqref="B67 B50:D53 E53:L53">
    <cfRule type="expression" dxfId="8509" priority="77">
      <formula>B$9&gt;=20/24</formula>
    </cfRule>
    <cfRule type="expression" dxfId="8508" priority="78">
      <formula>AND(B$9&gt;=14/24,B$9&lt;20/24)</formula>
    </cfRule>
    <cfRule type="expression" dxfId="8507" priority="79">
      <formula>AND(B$9&gt;=8/24,B$9&lt;14/24)</formula>
    </cfRule>
    <cfRule type="expression" dxfId="8506" priority="80">
      <formula>B$9&lt;8/24</formula>
    </cfRule>
  </conditionalFormatting>
  <conditionalFormatting sqref="B49">
    <cfRule type="expression" dxfId="8505" priority="73">
      <formula>B$9&gt;=20/24</formula>
    </cfRule>
    <cfRule type="expression" dxfId="8504" priority="74">
      <formula>AND(B$9&gt;=14/24,B$9&lt;20/24)</formula>
    </cfRule>
    <cfRule type="expression" dxfId="8503" priority="75">
      <formula>AND(B$9&gt;=8/24,B$9&lt;14/24)</formula>
    </cfRule>
    <cfRule type="expression" dxfId="8502" priority="76">
      <formula>B$9&lt;8/24</formula>
    </cfRule>
  </conditionalFormatting>
  <conditionalFormatting sqref="B49:B53 C50:D53 E53:L53">
    <cfRule type="expression" dxfId="8501" priority="72">
      <formula>B49&gt;$AG49</formula>
    </cfRule>
  </conditionalFormatting>
  <conditionalFormatting sqref="B82 B43 B92 B96:B102 B68:B70 B63:I65">
    <cfRule type="expression" dxfId="8500" priority="68">
      <formula>B$9&gt;=20/24</formula>
    </cfRule>
    <cfRule type="expression" dxfId="8499" priority="69">
      <formula>AND(B$9&gt;=14/24,B$9&lt;20/24)</formula>
    </cfRule>
    <cfRule type="expression" dxfId="8498" priority="70">
      <formula>AND(B$9&gt;=8/24,B$9&lt;14/24)</formula>
    </cfRule>
    <cfRule type="expression" dxfId="8497" priority="71">
      <formula>B$9&lt;8/24</formula>
    </cfRule>
  </conditionalFormatting>
  <conditionalFormatting sqref="B43 B63:I65">
    <cfRule type="expression" dxfId="8496" priority="67">
      <formula>B43&gt;$AG43</formula>
    </cfRule>
  </conditionalFormatting>
  <conditionalFormatting sqref="B93 B84">
    <cfRule type="expression" dxfId="8495" priority="63">
      <formula>B$9&gt;=20/24</formula>
    </cfRule>
    <cfRule type="expression" dxfId="8494" priority="64">
      <formula>AND(B$9&gt;=14/24,B$9&lt;20/24)</formula>
    </cfRule>
    <cfRule type="expression" dxfId="8493" priority="65">
      <formula>AND(B$9&gt;=8/24,B$9&lt;14/24)</formula>
    </cfRule>
    <cfRule type="expression" dxfId="8492" priority="66">
      <formula>B$9&lt;8/24</formula>
    </cfRule>
  </conditionalFormatting>
  <conditionalFormatting sqref="B42:AF42">
    <cfRule type="expression" dxfId="8491" priority="59">
      <formula>B$9&gt;=20/24</formula>
    </cfRule>
    <cfRule type="expression" dxfId="8490" priority="60">
      <formula>AND(B$9&gt;=14/24,B$9&lt;20/24)</formula>
    </cfRule>
    <cfRule type="expression" dxfId="8489" priority="61">
      <formula>AND(B$9&gt;=8/24,B$9&lt;14/24)</formula>
    </cfRule>
    <cfRule type="expression" dxfId="8488" priority="62">
      <formula>B$9&lt;8/24</formula>
    </cfRule>
  </conditionalFormatting>
  <conditionalFormatting sqref="B42:AF42">
    <cfRule type="expression" dxfId="8487" priority="58">
      <formula>B42&gt;$AG42</formula>
    </cfRule>
  </conditionalFormatting>
  <conditionalFormatting sqref="B54:L54">
    <cfRule type="expression" dxfId="8486" priority="54">
      <formula>B$9&gt;=20/24</formula>
    </cfRule>
    <cfRule type="expression" dxfId="8485" priority="55">
      <formula>AND(B$9&gt;=14/24,B$9&lt;20/24)</formula>
    </cfRule>
    <cfRule type="expression" dxfId="8484" priority="56">
      <formula>AND(B$9&gt;=8/24,B$9&lt;14/24)</formula>
    </cfRule>
    <cfRule type="expression" dxfId="8483" priority="57">
      <formula>B$9&lt;8/24</formula>
    </cfRule>
  </conditionalFormatting>
  <conditionalFormatting sqref="B54:L54">
    <cfRule type="expression" dxfId="8482" priority="53">
      <formula>B54&gt;$AG54</formula>
    </cfRule>
  </conditionalFormatting>
  <conditionalFormatting sqref="B87:B91">
    <cfRule type="expression" dxfId="8481" priority="49">
      <formula>B$9&gt;=20/24</formula>
    </cfRule>
    <cfRule type="expression" dxfId="8480" priority="50">
      <formula>AND(B$9&gt;=14/24,B$9&lt;20/24)</formula>
    </cfRule>
    <cfRule type="expression" dxfId="8479" priority="51">
      <formula>AND(B$9&gt;=8/24,B$9&lt;14/24)</formula>
    </cfRule>
    <cfRule type="expression" dxfId="8478" priority="52">
      <formula>B$9&lt;8/24</formula>
    </cfRule>
  </conditionalFormatting>
  <conditionalFormatting sqref="B45:F47 G46:G47">
    <cfRule type="expression" dxfId="8477" priority="45">
      <formula>B$9&gt;=20/24</formula>
    </cfRule>
    <cfRule type="expression" dxfId="8476" priority="46">
      <formula>AND(B$9&gt;=14/24,B$9&lt;20/24)</formula>
    </cfRule>
    <cfRule type="expression" dxfId="8475" priority="47">
      <formula>AND(B$9&gt;=8/24,B$9&lt;14/24)</formula>
    </cfRule>
    <cfRule type="expression" dxfId="8474" priority="48">
      <formula>B$9&lt;8/24</formula>
    </cfRule>
  </conditionalFormatting>
  <conditionalFormatting sqref="B45:F47 G46:G47">
    <cfRule type="expression" dxfId="8473" priority="44">
      <formula>B45&gt;$AG45</formula>
    </cfRule>
  </conditionalFormatting>
  <conditionalFormatting sqref="B103">
    <cfRule type="expression" dxfId="8472" priority="40">
      <formula>B$9&gt;=20/24</formula>
    </cfRule>
    <cfRule type="expression" dxfId="8471" priority="41">
      <formula>AND(B$9&gt;=14/24,B$9&lt;20/24)</formula>
    </cfRule>
    <cfRule type="expression" dxfId="8470" priority="42">
      <formula>AND(B$9&gt;=8/24,B$9&lt;14/24)</formula>
    </cfRule>
    <cfRule type="expression" dxfId="8469" priority="43">
      <formula>B$9&lt;8/24</formula>
    </cfRule>
  </conditionalFormatting>
  <conditionalFormatting sqref="B106">
    <cfRule type="expression" dxfId="8468" priority="32">
      <formula>B$9&gt;=20/24</formula>
    </cfRule>
    <cfRule type="expression" dxfId="8467" priority="33">
      <formula>AND(B$9&gt;=14/24,B$9&lt;20/24)</formula>
    </cfRule>
    <cfRule type="expression" dxfId="8466" priority="34">
      <formula>AND(B$9&gt;=8/24,B$9&lt;14/24)</formula>
    </cfRule>
    <cfRule type="expression" dxfId="8465" priority="35">
      <formula>B$9&lt;8/24</formula>
    </cfRule>
  </conditionalFormatting>
  <conditionalFormatting sqref="B79:B81 B71:B72">
    <cfRule type="expression" dxfId="8464" priority="28">
      <formula>B$9&gt;=20/24</formula>
    </cfRule>
    <cfRule type="expression" dxfId="8463" priority="29">
      <formula>AND(B$9&gt;=14/24,B$9&lt;20/24)</formula>
    </cfRule>
    <cfRule type="expression" dxfId="8462" priority="30">
      <formula>AND(B$9&gt;=8/24,B$9&lt;14/24)</formula>
    </cfRule>
    <cfRule type="expression" dxfId="8461" priority="31">
      <formula>B$9&lt;8/24</formula>
    </cfRule>
  </conditionalFormatting>
  <conditionalFormatting sqref="B66 B83 B85 B94">
    <cfRule type="expression" dxfId="8460" priority="24">
      <formula>B$9&gt;=20/24</formula>
    </cfRule>
    <cfRule type="expression" dxfId="8459" priority="25">
      <formula>AND(B$9&gt;=14/24,B$9&lt;20/24)</formula>
    </cfRule>
    <cfRule type="expression" dxfId="8458" priority="26">
      <formula>AND(B$9&gt;=8/24,B$9&lt;14/24)</formula>
    </cfRule>
    <cfRule type="expression" dxfId="8457" priority="27">
      <formula>B$9&lt;8/24</formula>
    </cfRule>
  </conditionalFormatting>
  <conditionalFormatting sqref="B44 B61:B62 B66">
    <cfRule type="expression" dxfId="8456" priority="23">
      <formula>B44&gt;$AG44</formula>
    </cfRule>
  </conditionalFormatting>
  <conditionalFormatting sqref="B78">
    <cfRule type="expression" dxfId="8455" priority="19">
      <formula>B$9&gt;=20/24</formula>
    </cfRule>
    <cfRule type="expression" dxfId="8454" priority="20">
      <formula>AND(B$9&gt;=14/24,B$9&lt;20/24)</formula>
    </cfRule>
    <cfRule type="expression" dxfId="8453" priority="21">
      <formula>AND(B$9&gt;=8/24,B$9&lt;14/24)</formula>
    </cfRule>
    <cfRule type="expression" dxfId="8452" priority="22">
      <formula>B$9&lt;8/24</formula>
    </cfRule>
  </conditionalFormatting>
  <conditionalFormatting sqref="B48">
    <cfRule type="expression" dxfId="8451" priority="15">
      <formula>B$9&gt;=20/24</formula>
    </cfRule>
    <cfRule type="expression" dxfId="8450" priority="16">
      <formula>AND(B$9&gt;=14/24,B$9&lt;20/24)</formula>
    </cfRule>
    <cfRule type="expression" dxfId="8449" priority="17">
      <formula>AND(B$9&gt;=8/24,B$9&lt;14/24)</formula>
    </cfRule>
    <cfRule type="expression" dxfId="8448" priority="18">
      <formula>B$9&lt;8/24</formula>
    </cfRule>
  </conditionalFormatting>
  <conditionalFormatting sqref="B48">
    <cfRule type="expression" dxfId="8447" priority="14">
      <formula>B48&gt;$AG48</formula>
    </cfRule>
  </conditionalFormatting>
  <conditionalFormatting sqref="B55:L60">
    <cfRule type="expression" dxfId="8446" priority="6">
      <formula>B$9&gt;=20/24</formula>
    </cfRule>
    <cfRule type="expression" dxfId="8445" priority="7">
      <formula>AND(B$9&gt;=14/24,B$9&lt;20/24)</formula>
    </cfRule>
    <cfRule type="expression" dxfId="8444" priority="8">
      <formula>AND(B$9&gt;=8/24,B$9&lt;14/24)</formula>
    </cfRule>
    <cfRule type="expression" dxfId="8443" priority="9">
      <formula>B$9&lt;8/24</formula>
    </cfRule>
  </conditionalFormatting>
  <conditionalFormatting sqref="B55:L60">
    <cfRule type="expression" dxfId="8442" priority="5">
      <formula>B55&gt;$AG55</formula>
    </cfRule>
  </conditionalFormatting>
  <conditionalFormatting sqref="B73:L77">
    <cfRule type="expression" dxfId="8441" priority="1">
      <formula>B$9&gt;=20/24</formula>
    </cfRule>
    <cfRule type="expression" dxfId="8440" priority="2">
      <formula>AND(B$9&gt;=14/24,B$9&lt;20/24)</formula>
    </cfRule>
    <cfRule type="expression" dxfId="8439" priority="3">
      <formula>AND(B$9&gt;=8/24,B$9&lt;14/24)</formula>
    </cfRule>
    <cfRule type="expression" dxfId="8438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3" id="{607ECB0D-E968-427D-BBC8-63FC9AFB414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4" id="{06813566-F7E8-4BD9-A7BF-60B2423626C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5" id="{9709AC92-3582-4860-9E0D-E724803316F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6" id="{287854C4-956E-4656-B061-4BF78D184B9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219" id="{82F4762A-65FA-4CBB-9F15-9DB44E74A09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0" id="{0DCA04BB-3B68-40A0-A65A-C94D3E815CE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1" id="{3BB62E59-5716-4E37-BFFD-3859B4DEA7C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2" id="{7ACB264F-4C5D-46EC-83E3-B1BC9A25A6B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130" id="{F59BD29A-0CF2-4FA4-9DF1-7EB8078D787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BFD3E03C-39A1-4F7C-B883-4122563A4CA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B1F6C05E-D89B-43E7-966A-8D20236D031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9A130A1B-31A3-4996-8006-E26B3729730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36" id="{15AB6545-7C5B-4601-AA25-1209865C2BB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9CF7D68A-3E7C-4059-BEB4-DCA53776B74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8C30C6F7-0D50-413D-8255-5AAA746EF16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8205FEA1-ED40-435C-A8FD-D0C229DABD5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10" id="{FC3EDA96-136D-4106-8111-435DC29211F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F7172BB4-F591-4CFD-B302-53F017CDBEB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314B9210-4FD4-4557-B537-F8AD8EFA38B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2F42E799-FC4F-499B-9EF6-336187FADF3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4"/>
  <sheetViews>
    <sheetView workbookViewId="0">
      <pane ySplit="10" topLeftCell="A99" activePane="bottomLeft" state="frozen"/>
      <selection activeCell="Z85" sqref="Z85"/>
      <selection pane="bottomLeft" activeCell="N69" sqref="N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2079/11/11</v>
      </c>
      <c r="C4" s="208"/>
      <c r="D4" s="208"/>
      <c r="E4" s="209" t="str">
        <f ca="1">"2079/"&amp;"11/"&amp;INT(MID(CELL("filename",G6),FIND("]",CELL("filename",G6))+1,200))</f>
        <v>2079/11/11</v>
      </c>
      <c r="F4" s="209"/>
      <c r="G4" s="209"/>
      <c r="H4" s="209" t="str">
        <f ca="1">TEXT(E4,"dddd")</f>
        <v>Saturday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433</v>
      </c>
      <c r="C5" s="30">
        <f t="shared" si="0"/>
        <v>433.3</v>
      </c>
      <c r="D5" s="30">
        <f t="shared" si="0"/>
        <v>437</v>
      </c>
      <c r="E5" s="30">
        <f t="shared" si="0"/>
        <v>444.9</v>
      </c>
      <c r="F5" s="30">
        <f t="shared" si="0"/>
        <v>480.5</v>
      </c>
      <c r="G5" s="30">
        <f t="shared" si="0"/>
        <v>490.1</v>
      </c>
      <c r="H5" s="30">
        <f t="shared" si="0"/>
        <v>471.8</v>
      </c>
      <c r="I5" s="30">
        <f t="shared" si="0"/>
        <v>290.8</v>
      </c>
      <c r="J5" s="30">
        <f t="shared" si="0"/>
        <v>169</v>
      </c>
      <c r="K5" s="30">
        <f t="shared" si="0"/>
        <v>117.4</v>
      </c>
      <c r="L5" s="30">
        <f t="shared" si="0"/>
        <v>146.4</v>
      </c>
      <c r="M5" s="30">
        <f t="shared" si="0"/>
        <v>484</v>
      </c>
      <c r="N5" s="30">
        <f t="shared" si="0"/>
        <v>484.70000000000005</v>
      </c>
      <c r="O5" s="30">
        <f t="shared" si="0"/>
        <v>501.59999999999997</v>
      </c>
      <c r="P5" s="30">
        <f t="shared" si="0"/>
        <v>503.5</v>
      </c>
      <c r="Q5" s="30">
        <f t="shared" si="0"/>
        <v>496.5</v>
      </c>
      <c r="R5" s="30">
        <f t="shared" si="0"/>
        <v>507.5</v>
      </c>
      <c r="S5" s="30">
        <f t="shared" si="0"/>
        <v>482.2</v>
      </c>
      <c r="T5" s="30">
        <f t="shared" si="0"/>
        <v>495.1</v>
      </c>
      <c r="U5" s="30">
        <f t="shared" si="0"/>
        <v>330</v>
      </c>
      <c r="V5" s="30">
        <f t="shared" si="0"/>
        <v>480</v>
      </c>
      <c r="W5" s="30">
        <f t="shared" si="0"/>
        <v>467</v>
      </c>
      <c r="X5" s="30">
        <f t="shared" si="0"/>
        <v>350</v>
      </c>
      <c r="Y5" s="30">
        <f t="shared" si="0"/>
        <v>269</v>
      </c>
      <c r="Z5" s="30">
        <f t="shared" si="0"/>
        <v>188.5</v>
      </c>
      <c r="AA5" s="30">
        <f t="shared" si="0"/>
        <v>463</v>
      </c>
      <c r="AB5" s="30">
        <f t="shared" si="0"/>
        <v>469</v>
      </c>
      <c r="AC5" s="30">
        <f t="shared" si="0"/>
        <v>488</v>
      </c>
      <c r="AD5" s="30">
        <f t="shared" si="0"/>
        <v>484</v>
      </c>
      <c r="AE5" s="30">
        <f t="shared" si="0"/>
        <v>471</v>
      </c>
      <c r="AF5" s="30">
        <f>B78</f>
        <v>449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1518MW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Load=976</v>
      </c>
      <c r="B7" s="35">
        <f t="shared" ref="B7:AF7" si="1">B85</f>
        <v>1018.59</v>
      </c>
      <c r="C7" s="35">
        <f t="shared" si="1"/>
        <v>987.59</v>
      </c>
      <c r="D7" s="35">
        <f t="shared" si="1"/>
        <v>975.99</v>
      </c>
      <c r="E7" s="35">
        <f t="shared" si="1"/>
        <v>979.69</v>
      </c>
      <c r="F7" s="35">
        <f t="shared" si="1"/>
        <v>988.58999999999992</v>
      </c>
      <c r="G7" s="35">
        <f t="shared" si="1"/>
        <v>1023.39</v>
      </c>
      <c r="H7" s="35">
        <f t="shared" si="1"/>
        <v>1120.69</v>
      </c>
      <c r="I7" s="35">
        <f t="shared" si="1"/>
        <v>1150.69</v>
      </c>
      <c r="J7" s="35">
        <f t="shared" si="1"/>
        <v>1274.99</v>
      </c>
      <c r="K7" s="35">
        <f t="shared" si="1"/>
        <v>1371.0900000000001</v>
      </c>
      <c r="L7" s="35">
        <f t="shared" si="1"/>
        <v>1518.2900000000002</v>
      </c>
      <c r="M7" s="35">
        <f t="shared" si="1"/>
        <v>1466.0900000000001</v>
      </c>
      <c r="N7" s="35">
        <f>N85</f>
        <v>1337.8899999999999</v>
      </c>
      <c r="O7" s="35">
        <f t="shared" si="1"/>
        <v>1309.8899999999999</v>
      </c>
      <c r="P7" s="35">
        <f t="shared" si="1"/>
        <v>1223.3899999999999</v>
      </c>
      <c r="Q7" s="35">
        <f t="shared" si="1"/>
        <v>1268.3899999999999</v>
      </c>
      <c r="R7" s="35">
        <f t="shared" si="1"/>
        <v>1251.69</v>
      </c>
      <c r="S7" s="35">
        <f t="shared" si="1"/>
        <v>1299.0899999999999</v>
      </c>
      <c r="T7" s="35">
        <f t="shared" si="1"/>
        <v>1321.3899999999999</v>
      </c>
      <c r="U7" s="35">
        <f t="shared" si="1"/>
        <v>1324.99</v>
      </c>
      <c r="V7" s="35">
        <f t="shared" si="1"/>
        <v>1221.49</v>
      </c>
      <c r="W7" s="35">
        <f t="shared" si="1"/>
        <v>1309.29</v>
      </c>
      <c r="X7" s="35">
        <f t="shared" si="1"/>
        <v>1410.59</v>
      </c>
      <c r="Y7" s="35">
        <f t="shared" si="1"/>
        <v>1609.85</v>
      </c>
      <c r="Z7" s="35">
        <f t="shared" si="1"/>
        <v>1578.19</v>
      </c>
      <c r="AA7" s="35">
        <f t="shared" si="1"/>
        <v>1516.79</v>
      </c>
      <c r="AB7" s="35">
        <f t="shared" si="1"/>
        <v>1361.79</v>
      </c>
      <c r="AC7" s="35">
        <f t="shared" si="1"/>
        <v>1336.49</v>
      </c>
      <c r="AD7" s="35">
        <f t="shared" si="1"/>
        <v>1215.49</v>
      </c>
      <c r="AE7" s="35">
        <f t="shared" si="1"/>
        <v>1124.29</v>
      </c>
      <c r="AF7" s="35">
        <f t="shared" si="1"/>
        <v>1052.49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14.7</v>
      </c>
      <c r="C11" s="45">
        <v>14.7</v>
      </c>
      <c r="D11" s="45">
        <v>14.7</v>
      </c>
      <c r="E11" s="45">
        <v>14.7</v>
      </c>
      <c r="F11" s="45">
        <v>16.7</v>
      </c>
      <c r="G11" s="45">
        <v>16.7</v>
      </c>
      <c r="H11" s="45">
        <v>15.3</v>
      </c>
      <c r="I11" s="45">
        <v>15.3</v>
      </c>
      <c r="J11" s="45">
        <v>14.1</v>
      </c>
      <c r="K11" s="45">
        <v>14.1</v>
      </c>
      <c r="L11" s="45">
        <v>14.2</v>
      </c>
      <c r="M11" s="45">
        <v>14.2</v>
      </c>
      <c r="N11" s="45">
        <v>14.2</v>
      </c>
      <c r="O11" s="45">
        <v>14.2</v>
      </c>
      <c r="P11" s="45">
        <v>14.2</v>
      </c>
      <c r="Q11" s="45">
        <v>16.3</v>
      </c>
      <c r="R11" s="45">
        <v>16.3</v>
      </c>
      <c r="S11" s="45">
        <v>16.3</v>
      </c>
      <c r="T11" s="45">
        <v>16.3</v>
      </c>
      <c r="U11" s="45">
        <v>15.2</v>
      </c>
      <c r="V11" s="45">
        <v>16</v>
      </c>
      <c r="W11" s="45">
        <v>16</v>
      </c>
      <c r="X11" s="45">
        <v>13.5</v>
      </c>
      <c r="Y11" s="45">
        <v>13.5</v>
      </c>
      <c r="Z11" s="45">
        <v>13.5</v>
      </c>
      <c r="AA11" s="45">
        <v>13.5</v>
      </c>
      <c r="AB11" s="45">
        <v>14.8</v>
      </c>
      <c r="AC11" s="45">
        <v>14.8</v>
      </c>
      <c r="AD11" s="45">
        <v>14.8</v>
      </c>
      <c r="AE11" s="45">
        <v>16.600000000000001</v>
      </c>
      <c r="AF11" s="45">
        <v>15.8</v>
      </c>
      <c r="AG11" s="46">
        <v>52.4</v>
      </c>
      <c r="AH11" s="47">
        <f t="shared" ref="AH11:AH74" si="2">MAX(B11:AF11)</f>
        <v>16.7</v>
      </c>
      <c r="AI11" s="48">
        <f t="shared" ref="AI11:AI74" si="3">MIN(B11:AF11)</f>
        <v>13.5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31.6</v>
      </c>
      <c r="C12" s="45">
        <v>31.6</v>
      </c>
      <c r="D12" s="45">
        <v>31.6</v>
      </c>
      <c r="E12" s="45">
        <v>31.6</v>
      </c>
      <c r="F12" s="45">
        <v>31.1</v>
      </c>
      <c r="G12" s="45">
        <v>31.1</v>
      </c>
      <c r="H12" s="45">
        <v>31</v>
      </c>
      <c r="I12" s="45">
        <v>31</v>
      </c>
      <c r="J12" s="45">
        <v>31</v>
      </c>
      <c r="K12" s="45">
        <v>31</v>
      </c>
      <c r="L12" s="45">
        <v>31</v>
      </c>
      <c r="M12" s="45">
        <v>31</v>
      </c>
      <c r="N12" s="45">
        <v>31</v>
      </c>
      <c r="O12" s="45">
        <v>31</v>
      </c>
      <c r="P12" s="45">
        <v>31</v>
      </c>
      <c r="Q12" s="45">
        <v>30.6</v>
      </c>
      <c r="R12" s="45">
        <v>30.6</v>
      </c>
      <c r="S12" s="45">
        <v>30.6</v>
      </c>
      <c r="T12" s="45">
        <v>30.6</v>
      </c>
      <c r="U12" s="45">
        <v>30.4</v>
      </c>
      <c r="V12" s="45">
        <v>30.5</v>
      </c>
      <c r="W12" s="45">
        <v>30.5</v>
      </c>
      <c r="X12" s="45">
        <v>30</v>
      </c>
      <c r="Y12" s="45">
        <v>30.4</v>
      </c>
      <c r="Z12" s="45">
        <v>30.4</v>
      </c>
      <c r="AA12" s="45">
        <v>30.4</v>
      </c>
      <c r="AB12" s="45">
        <v>30.4</v>
      </c>
      <c r="AC12" s="45">
        <v>30.4</v>
      </c>
      <c r="AD12" s="45">
        <v>30.4</v>
      </c>
      <c r="AE12" s="45">
        <v>30.4</v>
      </c>
      <c r="AF12" s="45">
        <v>30.4</v>
      </c>
      <c r="AG12" s="50">
        <v>50</v>
      </c>
      <c r="AH12" s="47">
        <f t="shared" si="2"/>
        <v>31.6</v>
      </c>
      <c r="AI12" s="48">
        <f t="shared" si="3"/>
        <v>30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15.3</v>
      </c>
      <c r="C13" s="45">
        <v>15.3</v>
      </c>
      <c r="D13" s="45">
        <v>15.3</v>
      </c>
      <c r="E13" s="45">
        <v>15.3</v>
      </c>
      <c r="F13" s="45">
        <v>15.6</v>
      </c>
      <c r="G13" s="45">
        <v>15.6</v>
      </c>
      <c r="H13" s="45">
        <v>15.9</v>
      </c>
      <c r="I13" s="45">
        <v>15.5</v>
      </c>
      <c r="J13" s="45">
        <v>19.100000000000001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16.100000000000001</v>
      </c>
      <c r="R13" s="45">
        <v>16.100000000000001</v>
      </c>
      <c r="S13" s="45">
        <v>16.100000000000001</v>
      </c>
      <c r="T13" s="45">
        <v>16.100000000000001</v>
      </c>
      <c r="U13" s="45">
        <v>15.4</v>
      </c>
      <c r="V13" s="45">
        <v>16.100000000000001</v>
      </c>
      <c r="W13" s="45">
        <v>16.100000000000001</v>
      </c>
      <c r="X13" s="45">
        <v>16.100000000000001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19.100000000000001</v>
      </c>
      <c r="AI13" s="48">
        <f t="shared" si="3"/>
        <v>15.3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9.5</v>
      </c>
      <c r="I14" s="45">
        <v>9.5</v>
      </c>
      <c r="J14" s="45">
        <v>9.6</v>
      </c>
      <c r="K14" s="45">
        <v>9.5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9.6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7.5</v>
      </c>
      <c r="C16" s="45">
        <v>7.5</v>
      </c>
      <c r="D16" s="45">
        <v>7.5</v>
      </c>
      <c r="E16" s="45">
        <v>7.5</v>
      </c>
      <c r="F16" s="45">
        <v>7.5</v>
      </c>
      <c r="G16" s="45">
        <v>7.5</v>
      </c>
      <c r="H16" s="45">
        <v>7.5</v>
      </c>
      <c r="I16" s="45">
        <v>7.5</v>
      </c>
      <c r="J16" s="45">
        <v>7.5</v>
      </c>
      <c r="K16" s="45">
        <v>7.5</v>
      </c>
      <c r="L16" s="45">
        <v>7.5</v>
      </c>
      <c r="M16" s="45">
        <v>7.5</v>
      </c>
      <c r="N16" s="45">
        <v>7.5</v>
      </c>
      <c r="O16" s="45">
        <v>7.5</v>
      </c>
      <c r="P16" s="45">
        <v>7.5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7.6</v>
      </c>
      <c r="Z16" s="45">
        <v>7.6</v>
      </c>
      <c r="AA16" s="45">
        <v>7.6</v>
      </c>
      <c r="AB16" s="45">
        <v>7.6</v>
      </c>
      <c r="AC16" s="45">
        <v>7.6</v>
      </c>
      <c r="AD16" s="45">
        <v>7.6</v>
      </c>
      <c r="AE16" s="45">
        <v>7.6</v>
      </c>
      <c r="AF16" s="45">
        <v>7.6</v>
      </c>
      <c r="AG16" s="51">
        <v>30</v>
      </c>
      <c r="AH16" s="47">
        <f t="shared" si="2"/>
        <v>8</v>
      </c>
      <c r="AI16" s="48">
        <f t="shared" si="3"/>
        <v>7.5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6.6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10.6</v>
      </c>
      <c r="C20" s="45">
        <v>10.6</v>
      </c>
      <c r="D20" s="45">
        <v>10.6</v>
      </c>
      <c r="E20" s="45">
        <v>10.6</v>
      </c>
      <c r="F20" s="45">
        <v>10.6</v>
      </c>
      <c r="G20" s="45">
        <v>10.6</v>
      </c>
      <c r="H20" s="45">
        <v>10.6</v>
      </c>
      <c r="I20" s="45">
        <v>10.6</v>
      </c>
      <c r="J20" s="45">
        <v>10.6</v>
      </c>
      <c r="K20" s="45">
        <v>10.6</v>
      </c>
      <c r="L20" s="45">
        <v>10.6</v>
      </c>
      <c r="M20" s="45">
        <v>10.6</v>
      </c>
      <c r="N20" s="45">
        <v>10.6</v>
      </c>
      <c r="O20" s="45">
        <v>10.6</v>
      </c>
      <c r="P20" s="45">
        <v>10.6</v>
      </c>
      <c r="Q20" s="45">
        <v>10.6</v>
      </c>
      <c r="R20" s="45">
        <v>10.6</v>
      </c>
      <c r="S20" s="45">
        <v>10.6</v>
      </c>
      <c r="T20" s="45">
        <v>10.6</v>
      </c>
      <c r="U20" s="45">
        <v>10.6</v>
      </c>
      <c r="V20" s="45">
        <v>10.6</v>
      </c>
      <c r="W20" s="45">
        <v>10.6</v>
      </c>
      <c r="X20" s="45">
        <v>10.6</v>
      </c>
      <c r="Y20" s="45">
        <v>10.6</v>
      </c>
      <c r="Z20" s="45">
        <v>10.6</v>
      </c>
      <c r="AA20" s="45">
        <v>10.6</v>
      </c>
      <c r="AB20" s="45">
        <v>10.6</v>
      </c>
      <c r="AC20" s="45">
        <v>10.6</v>
      </c>
      <c r="AD20" s="45">
        <v>10.6</v>
      </c>
      <c r="AE20" s="45">
        <v>10.6</v>
      </c>
      <c r="AF20" s="45">
        <v>10.6</v>
      </c>
      <c r="AG20" s="50">
        <v>25</v>
      </c>
      <c r="AH20" s="47">
        <f t="shared" si="2"/>
        <v>10.6</v>
      </c>
      <c r="AI20" s="48">
        <f t="shared" si="3"/>
        <v>10.6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50">
        <v>23.5</v>
      </c>
      <c r="AH24" s="47">
        <f t="shared" si="2"/>
        <v>7.2</v>
      </c>
      <c r="AI24" s="48">
        <f t="shared" si="3"/>
        <v>7.2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0">
        <v>12</v>
      </c>
      <c r="AH35" s="47">
        <f t="shared" si="2"/>
        <v>7</v>
      </c>
      <c r="AI35" s="48">
        <f t="shared" si="3"/>
        <v>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1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356.5</v>
      </c>
      <c r="C44" s="60">
        <f t="shared" si="4"/>
        <v>356.5</v>
      </c>
      <c r="D44" s="60">
        <f t="shared" si="4"/>
        <v>356.5</v>
      </c>
      <c r="E44" s="60">
        <f t="shared" si="4"/>
        <v>356.5</v>
      </c>
      <c r="F44" s="60">
        <f t="shared" si="4"/>
        <v>358.29999999999995</v>
      </c>
      <c r="G44" s="60">
        <f t="shared" si="4"/>
        <v>358.29999999999995</v>
      </c>
      <c r="H44" s="60">
        <f t="shared" si="4"/>
        <v>358.09999999999997</v>
      </c>
      <c r="I44" s="60">
        <f t="shared" si="4"/>
        <v>357.7</v>
      </c>
      <c r="J44" s="60">
        <f t="shared" si="4"/>
        <v>360.2</v>
      </c>
      <c r="K44" s="60">
        <f t="shared" si="4"/>
        <v>356.5</v>
      </c>
      <c r="L44" s="60">
        <f t="shared" si="4"/>
        <v>356.6</v>
      </c>
      <c r="M44" s="60">
        <f t="shared" si="4"/>
        <v>357.6</v>
      </c>
      <c r="N44" s="60">
        <f t="shared" si="4"/>
        <v>357.6</v>
      </c>
      <c r="O44" s="60">
        <f t="shared" si="4"/>
        <v>357.6</v>
      </c>
      <c r="P44" s="60">
        <f t="shared" si="4"/>
        <v>357.6</v>
      </c>
      <c r="Q44" s="60">
        <f t="shared" si="4"/>
        <v>359.4</v>
      </c>
      <c r="R44" s="60">
        <f t="shared" si="4"/>
        <v>359.4</v>
      </c>
      <c r="S44" s="60">
        <f t="shared" si="4"/>
        <v>359.4</v>
      </c>
      <c r="T44" s="60">
        <f t="shared" si="4"/>
        <v>359.4</v>
      </c>
      <c r="U44" s="60">
        <f t="shared" si="4"/>
        <v>357.4</v>
      </c>
      <c r="V44" s="60">
        <f t="shared" si="4"/>
        <v>359</v>
      </c>
      <c r="W44" s="60">
        <f t="shared" si="4"/>
        <v>359</v>
      </c>
      <c r="X44" s="60">
        <f t="shared" si="4"/>
        <v>356</v>
      </c>
      <c r="Y44" s="60">
        <f t="shared" si="4"/>
        <v>358</v>
      </c>
      <c r="Z44" s="60">
        <f t="shared" si="4"/>
        <v>358</v>
      </c>
      <c r="AA44" s="60">
        <f t="shared" si="4"/>
        <v>358</v>
      </c>
      <c r="AB44" s="60">
        <f t="shared" si="4"/>
        <v>359.29999999999995</v>
      </c>
      <c r="AC44" s="60">
        <f t="shared" si="4"/>
        <v>359.29999999999995</v>
      </c>
      <c r="AD44" s="60">
        <f t="shared" si="4"/>
        <v>359.29999999999995</v>
      </c>
      <c r="AE44" s="60">
        <f t="shared" si="4"/>
        <v>361.09999999999997</v>
      </c>
      <c r="AF44" s="60">
        <f t="shared" si="4"/>
        <v>360.29999999999995</v>
      </c>
      <c r="AG44" s="61">
        <f t="shared" si="4"/>
        <v>814.78000000000009</v>
      </c>
      <c r="AH44" s="47">
        <f t="shared" si="2"/>
        <v>361.09999999999997</v>
      </c>
      <c r="AI44" s="48">
        <f t="shared" si="3"/>
        <v>356</v>
      </c>
      <c r="AK44" s="49"/>
    </row>
    <row r="45" spans="1:88" x14ac:dyDescent="0.25">
      <c r="A45" s="62" t="s">
        <v>53</v>
      </c>
      <c r="B45" s="45">
        <v>15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30</v>
      </c>
      <c r="J45" s="45">
        <v>250</v>
      </c>
      <c r="K45" s="45">
        <v>380</v>
      </c>
      <c r="L45" s="45">
        <v>456</v>
      </c>
      <c r="M45" s="63">
        <v>420</v>
      </c>
      <c r="N45" s="63">
        <v>60</v>
      </c>
      <c r="O45" s="45">
        <v>50</v>
      </c>
      <c r="P45" s="45">
        <v>15</v>
      </c>
      <c r="Q45" s="45">
        <v>15</v>
      </c>
      <c r="R45" s="45">
        <v>15</v>
      </c>
      <c r="S45" s="45">
        <v>50</v>
      </c>
      <c r="T45" s="45">
        <v>70</v>
      </c>
      <c r="U45" s="45">
        <v>70</v>
      </c>
      <c r="V45" s="45">
        <v>130</v>
      </c>
      <c r="W45" s="45">
        <v>15</v>
      </c>
      <c r="X45" s="45">
        <v>50</v>
      </c>
      <c r="Y45" s="45">
        <v>240</v>
      </c>
      <c r="Z45" s="45">
        <v>300</v>
      </c>
      <c r="AA45" s="45">
        <v>305</v>
      </c>
      <c r="AB45" s="45">
        <v>70</v>
      </c>
      <c r="AC45" s="45">
        <v>70</v>
      </c>
      <c r="AD45" s="45">
        <v>76</v>
      </c>
      <c r="AE45" s="45">
        <v>40</v>
      </c>
      <c r="AF45" s="45">
        <v>15</v>
      </c>
      <c r="AG45" s="51">
        <v>456</v>
      </c>
      <c r="AH45" s="47">
        <f t="shared" si="2"/>
        <v>456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11.2</v>
      </c>
      <c r="C47" s="67">
        <v>11.2</v>
      </c>
      <c r="D47" s="67">
        <v>11.2</v>
      </c>
      <c r="E47" s="67">
        <v>11.2</v>
      </c>
      <c r="F47" s="67">
        <v>11.2</v>
      </c>
      <c r="G47" s="67">
        <v>11.2</v>
      </c>
      <c r="H47" s="67">
        <v>11.2</v>
      </c>
      <c r="I47" s="67">
        <v>11.3</v>
      </c>
      <c r="J47" s="67">
        <v>11.2</v>
      </c>
      <c r="K47" s="67">
        <v>11.2</v>
      </c>
      <c r="L47" s="67">
        <v>11.3</v>
      </c>
      <c r="M47" s="67">
        <v>10.7</v>
      </c>
      <c r="N47" s="67">
        <v>10.7</v>
      </c>
      <c r="O47" s="67">
        <v>10.7</v>
      </c>
      <c r="P47" s="67">
        <v>10.7</v>
      </c>
      <c r="Q47" s="67">
        <v>10.7</v>
      </c>
      <c r="R47" s="67">
        <v>10.7</v>
      </c>
      <c r="S47" s="67">
        <v>10.7</v>
      </c>
      <c r="T47" s="67">
        <v>10.7</v>
      </c>
      <c r="U47" s="67">
        <v>9.6999999999999993</v>
      </c>
      <c r="V47" s="67">
        <v>9.6999999999999993</v>
      </c>
      <c r="W47" s="67">
        <v>9.6999999999999993</v>
      </c>
      <c r="X47" s="67">
        <v>9.6999999999999993</v>
      </c>
      <c r="Y47" s="67">
        <v>17.100000000000001</v>
      </c>
      <c r="Z47" s="67">
        <v>17.100000000000001</v>
      </c>
      <c r="AA47" s="67">
        <v>17.100000000000001</v>
      </c>
      <c r="AB47" s="67">
        <v>17.100000000000001</v>
      </c>
      <c r="AC47" s="67">
        <v>17.100000000000001</v>
      </c>
      <c r="AD47" s="67">
        <v>17.100000000000001</v>
      </c>
      <c r="AE47" s="67">
        <v>17.100000000000001</v>
      </c>
      <c r="AF47" s="67">
        <v>17.100000000000001</v>
      </c>
      <c r="AG47" s="68">
        <v>22.1</v>
      </c>
      <c r="AH47" s="47">
        <f t="shared" si="2"/>
        <v>17.100000000000001</v>
      </c>
      <c r="AI47" s="48">
        <f t="shared" si="3"/>
        <v>9.6999999999999993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54.2</v>
      </c>
      <c r="C48" s="60">
        <f t="shared" si="5"/>
        <v>39.200000000000003</v>
      </c>
      <c r="D48" s="60">
        <f t="shared" si="5"/>
        <v>39.200000000000003</v>
      </c>
      <c r="E48" s="60">
        <f t="shared" si="5"/>
        <v>39.200000000000003</v>
      </c>
      <c r="F48" s="60">
        <f t="shared" si="5"/>
        <v>39.200000000000003</v>
      </c>
      <c r="G48" s="60">
        <f t="shared" si="5"/>
        <v>39.200000000000003</v>
      </c>
      <c r="H48" s="60">
        <f t="shared" si="5"/>
        <v>39.200000000000003</v>
      </c>
      <c r="I48" s="60">
        <f t="shared" si="5"/>
        <v>69.3</v>
      </c>
      <c r="J48" s="60">
        <f t="shared" si="5"/>
        <v>289.2</v>
      </c>
      <c r="K48" s="60">
        <f t="shared" si="5"/>
        <v>419.2</v>
      </c>
      <c r="L48" s="60">
        <f t="shared" si="5"/>
        <v>495.3</v>
      </c>
      <c r="M48" s="60">
        <f t="shared" si="5"/>
        <v>458.7</v>
      </c>
      <c r="N48" s="60">
        <f t="shared" si="5"/>
        <v>98.7</v>
      </c>
      <c r="O48" s="60">
        <f t="shared" si="5"/>
        <v>88.7</v>
      </c>
      <c r="P48" s="60">
        <f t="shared" si="5"/>
        <v>53.7</v>
      </c>
      <c r="Q48" s="60">
        <f t="shared" si="5"/>
        <v>53.7</v>
      </c>
      <c r="R48" s="60">
        <f t="shared" si="5"/>
        <v>53.7</v>
      </c>
      <c r="S48" s="60">
        <f t="shared" si="5"/>
        <v>88.7</v>
      </c>
      <c r="T48" s="60">
        <f t="shared" si="5"/>
        <v>108.7</v>
      </c>
      <c r="U48" s="60">
        <f t="shared" si="5"/>
        <v>107.7</v>
      </c>
      <c r="V48" s="60">
        <f t="shared" si="5"/>
        <v>167.7</v>
      </c>
      <c r="W48" s="60">
        <f t="shared" si="5"/>
        <v>52.7</v>
      </c>
      <c r="X48" s="60">
        <f t="shared" si="5"/>
        <v>87.7</v>
      </c>
      <c r="Y48" s="60">
        <f t="shared" si="5"/>
        <v>285.10000000000002</v>
      </c>
      <c r="Z48" s="60">
        <f t="shared" si="5"/>
        <v>345.1</v>
      </c>
      <c r="AA48" s="60">
        <f t="shared" si="5"/>
        <v>350.1</v>
      </c>
      <c r="AB48" s="60">
        <f t="shared" si="5"/>
        <v>115.1</v>
      </c>
      <c r="AC48" s="60">
        <f t="shared" si="5"/>
        <v>115.1</v>
      </c>
      <c r="AD48" s="60">
        <f t="shared" si="5"/>
        <v>121.1</v>
      </c>
      <c r="AE48" s="60">
        <f t="shared" si="5"/>
        <v>85.1</v>
      </c>
      <c r="AF48" s="60">
        <f t="shared" si="5"/>
        <v>60.1</v>
      </c>
      <c r="AG48" s="61">
        <f t="shared" si="5"/>
        <v>538.1</v>
      </c>
      <c r="AH48" s="47">
        <f t="shared" si="2"/>
        <v>495.3</v>
      </c>
      <c r="AI48" s="48">
        <f t="shared" si="3"/>
        <v>39.200000000000003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29</v>
      </c>
      <c r="I49" s="45">
        <v>48.8</v>
      </c>
      <c r="J49" s="45">
        <v>93.8</v>
      </c>
      <c r="K49" s="45">
        <v>93.2</v>
      </c>
      <c r="L49" s="45">
        <v>93.2</v>
      </c>
      <c r="M49" s="45">
        <v>93.1</v>
      </c>
      <c r="N49" s="45">
        <v>52.3</v>
      </c>
      <c r="O49" s="45">
        <v>48.6</v>
      </c>
      <c r="P49" s="45">
        <v>64.8</v>
      </c>
      <c r="Q49" s="45">
        <v>77.2</v>
      </c>
      <c r="R49" s="45">
        <v>80</v>
      </c>
      <c r="S49" s="45">
        <v>68.099999999999994</v>
      </c>
      <c r="T49" s="45">
        <v>76.099999999999994</v>
      </c>
      <c r="U49" s="45">
        <v>70</v>
      </c>
      <c r="V49" s="45">
        <v>70</v>
      </c>
      <c r="W49" s="45">
        <v>60</v>
      </c>
      <c r="X49" s="45">
        <v>93.4</v>
      </c>
      <c r="Y49" s="45">
        <v>132.30000000000001</v>
      </c>
      <c r="Z49" s="45">
        <v>131.6</v>
      </c>
      <c r="AA49" s="45">
        <v>140.5</v>
      </c>
      <c r="AB49" s="45">
        <v>101</v>
      </c>
      <c r="AC49" s="45">
        <v>90</v>
      </c>
      <c r="AD49" s="45">
        <v>82</v>
      </c>
      <c r="AE49" s="45">
        <v>30</v>
      </c>
      <c r="AF49" s="45">
        <v>30</v>
      </c>
      <c r="AG49" s="51">
        <v>144</v>
      </c>
      <c r="AH49" s="47">
        <f t="shared" si="2"/>
        <v>140.5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35.1</v>
      </c>
      <c r="I50" s="65">
        <v>35</v>
      </c>
      <c r="J50" s="65">
        <v>47.2</v>
      </c>
      <c r="K50" s="65">
        <v>71.2</v>
      </c>
      <c r="L50" s="65">
        <v>69.599999999999994</v>
      </c>
      <c r="M50" s="65">
        <v>59.9</v>
      </c>
      <c r="N50" s="65">
        <v>34.4</v>
      </c>
      <c r="O50" s="65">
        <v>30.7</v>
      </c>
      <c r="P50" s="65">
        <v>45.4</v>
      </c>
      <c r="Q50" s="65">
        <v>60.5</v>
      </c>
      <c r="R50" s="45">
        <v>50.5</v>
      </c>
      <c r="S50" s="45">
        <v>34.6</v>
      </c>
      <c r="T50" s="45">
        <v>0</v>
      </c>
      <c r="U50" s="45">
        <v>18.7</v>
      </c>
      <c r="V50" s="45">
        <v>18.7</v>
      </c>
      <c r="W50" s="45">
        <v>18.899999999999999</v>
      </c>
      <c r="X50" s="45">
        <v>49.4</v>
      </c>
      <c r="Y50" s="45">
        <v>51.9</v>
      </c>
      <c r="Z50" s="45">
        <v>52.4</v>
      </c>
      <c r="AA50" s="45">
        <v>66</v>
      </c>
      <c r="AB50" s="65">
        <v>35</v>
      </c>
      <c r="AC50" s="65">
        <v>25</v>
      </c>
      <c r="AD50" s="65">
        <v>25</v>
      </c>
      <c r="AE50" s="65">
        <v>23</v>
      </c>
      <c r="AF50" s="65">
        <v>0</v>
      </c>
      <c r="AG50" s="54">
        <v>70</v>
      </c>
      <c r="AH50" s="47">
        <f t="shared" si="2"/>
        <v>71.2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16</v>
      </c>
      <c r="C51" s="65">
        <v>16</v>
      </c>
      <c r="D51" s="65">
        <v>0</v>
      </c>
      <c r="E51" s="65">
        <v>0</v>
      </c>
      <c r="F51" s="65">
        <v>0</v>
      </c>
      <c r="G51" s="65">
        <v>0</v>
      </c>
      <c r="H51" s="65">
        <v>22.7</v>
      </c>
      <c r="I51" s="65">
        <v>21.9</v>
      </c>
      <c r="J51" s="65">
        <v>35.200000000000003</v>
      </c>
      <c r="K51" s="65">
        <v>63.8</v>
      </c>
      <c r="L51" s="65">
        <v>68</v>
      </c>
      <c r="M51" s="65">
        <v>56.7</v>
      </c>
      <c r="N51" s="65">
        <v>45.1</v>
      </c>
      <c r="O51" s="65">
        <v>31.8</v>
      </c>
      <c r="P51" s="65">
        <v>33.1</v>
      </c>
      <c r="Q51" s="65">
        <v>45.8</v>
      </c>
      <c r="R51" s="45">
        <v>46.2</v>
      </c>
      <c r="S51" s="45">
        <v>43.2</v>
      </c>
      <c r="T51" s="45">
        <v>43.4</v>
      </c>
      <c r="U51" s="45">
        <v>34.4</v>
      </c>
      <c r="V51" s="45">
        <v>34.4</v>
      </c>
      <c r="W51" s="45">
        <v>17</v>
      </c>
      <c r="X51" s="45">
        <v>35.799999999999997</v>
      </c>
      <c r="Y51" s="45">
        <v>68.5</v>
      </c>
      <c r="Z51" s="45">
        <v>68.5</v>
      </c>
      <c r="AA51" s="45">
        <v>68.2</v>
      </c>
      <c r="AB51" s="65">
        <v>42.3</v>
      </c>
      <c r="AC51" s="65">
        <v>32</v>
      </c>
      <c r="AD51" s="65">
        <v>44</v>
      </c>
      <c r="AE51" s="65">
        <v>45</v>
      </c>
      <c r="AF51" s="65">
        <v>35</v>
      </c>
      <c r="AG51" s="54">
        <v>69</v>
      </c>
      <c r="AH51" s="47">
        <f t="shared" si="2"/>
        <v>68.5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40</v>
      </c>
      <c r="C52" s="56">
        <v>40</v>
      </c>
      <c r="D52" s="56">
        <v>44.1</v>
      </c>
      <c r="E52" s="56">
        <v>44.1</v>
      </c>
      <c r="F52" s="56">
        <v>43.8</v>
      </c>
      <c r="G52" s="56">
        <v>44</v>
      </c>
      <c r="H52" s="56">
        <v>44.1</v>
      </c>
      <c r="I52" s="56">
        <v>44.2</v>
      </c>
      <c r="J52" s="56">
        <v>44.6</v>
      </c>
      <c r="K52" s="56">
        <v>44.6</v>
      </c>
      <c r="L52" s="56">
        <v>44.6</v>
      </c>
      <c r="M52" s="65">
        <v>44.3</v>
      </c>
      <c r="N52" s="65">
        <v>44.3</v>
      </c>
      <c r="O52" s="65">
        <v>44.3</v>
      </c>
      <c r="P52" s="65">
        <v>42.3</v>
      </c>
      <c r="Q52" s="65">
        <v>43.3</v>
      </c>
      <c r="R52" s="45">
        <v>43.1</v>
      </c>
      <c r="S52" s="45">
        <v>43.1</v>
      </c>
      <c r="T52" s="45">
        <v>43.1</v>
      </c>
      <c r="U52" s="45">
        <v>41.1</v>
      </c>
      <c r="V52" s="45">
        <v>41.1</v>
      </c>
      <c r="W52" s="45">
        <v>41.1</v>
      </c>
      <c r="X52" s="45">
        <v>41.1</v>
      </c>
      <c r="Y52" s="65">
        <v>41.1</v>
      </c>
      <c r="Z52" s="65">
        <v>41.1</v>
      </c>
      <c r="AA52" s="65">
        <v>41.1</v>
      </c>
      <c r="AB52" s="65">
        <v>41.1</v>
      </c>
      <c r="AC52" s="65">
        <v>41.1</v>
      </c>
      <c r="AD52" s="65">
        <v>41.1</v>
      </c>
      <c r="AE52" s="65">
        <v>41.1</v>
      </c>
      <c r="AF52" s="65">
        <v>41.1</v>
      </c>
      <c r="AG52" s="54">
        <v>60</v>
      </c>
      <c r="AH52" s="47">
        <f t="shared" si="2"/>
        <v>44.6</v>
      </c>
      <c r="AI52" s="48">
        <f t="shared" si="3"/>
        <v>40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13</v>
      </c>
      <c r="K53" s="56">
        <v>13.6</v>
      </c>
      <c r="L53" s="56">
        <v>13.6</v>
      </c>
      <c r="M53" s="56">
        <v>25.4</v>
      </c>
      <c r="N53" s="56">
        <v>25.5</v>
      </c>
      <c r="O53" s="56">
        <v>25.5</v>
      </c>
      <c r="P53" s="65">
        <v>14.9</v>
      </c>
      <c r="Q53" s="65">
        <v>15</v>
      </c>
      <c r="R53" s="45">
        <v>12.3</v>
      </c>
      <c r="S53" s="45">
        <v>0</v>
      </c>
      <c r="T53" s="45">
        <v>0</v>
      </c>
      <c r="U53" s="45">
        <v>13.2</v>
      </c>
      <c r="V53" s="45">
        <v>13.2</v>
      </c>
      <c r="W53" s="45">
        <v>13.2</v>
      </c>
      <c r="X53" s="65">
        <v>0</v>
      </c>
      <c r="Y53" s="65">
        <v>15</v>
      </c>
      <c r="Z53" s="65">
        <v>15</v>
      </c>
      <c r="AA53" s="65">
        <v>15</v>
      </c>
      <c r="AB53" s="65">
        <v>15</v>
      </c>
      <c r="AC53" s="65">
        <v>15</v>
      </c>
      <c r="AD53" s="65">
        <v>15</v>
      </c>
      <c r="AE53" s="65">
        <v>15</v>
      </c>
      <c r="AF53" s="65">
        <v>15</v>
      </c>
      <c r="AG53" s="54">
        <v>30</v>
      </c>
      <c r="AH53" s="47">
        <f t="shared" si="2"/>
        <v>25.5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4</v>
      </c>
      <c r="N54" s="45">
        <v>6</v>
      </c>
      <c r="O54" s="45">
        <v>8</v>
      </c>
      <c r="P54" s="65">
        <v>10</v>
      </c>
      <c r="Q54" s="65">
        <v>10</v>
      </c>
      <c r="R54" s="45">
        <v>10</v>
      </c>
      <c r="S54" s="45">
        <v>10</v>
      </c>
      <c r="T54" s="45">
        <v>10</v>
      </c>
      <c r="U54" s="45">
        <v>10</v>
      </c>
      <c r="V54" s="45">
        <v>10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14</v>
      </c>
      <c r="C55" s="65">
        <v>14</v>
      </c>
      <c r="D55" s="65">
        <v>14</v>
      </c>
      <c r="E55" s="65">
        <v>14</v>
      </c>
      <c r="F55" s="65">
        <v>14</v>
      </c>
      <c r="G55" s="65">
        <v>13</v>
      </c>
      <c r="H55" s="65">
        <v>14</v>
      </c>
      <c r="I55" s="65">
        <v>14</v>
      </c>
      <c r="J55" s="65">
        <v>13</v>
      </c>
      <c r="K55" s="65">
        <v>13</v>
      </c>
      <c r="L55" s="65">
        <v>13</v>
      </c>
      <c r="M55" s="65">
        <v>13</v>
      </c>
      <c r="N55" s="65">
        <v>13</v>
      </c>
      <c r="O55" s="65">
        <v>13</v>
      </c>
      <c r="P55" s="65">
        <v>13</v>
      </c>
      <c r="Q55" s="65">
        <v>13</v>
      </c>
      <c r="R55" s="65">
        <v>13</v>
      </c>
      <c r="S55" s="65">
        <v>13</v>
      </c>
      <c r="T55" s="65">
        <v>13</v>
      </c>
      <c r="U55" s="65">
        <v>13</v>
      </c>
      <c r="V55" s="65">
        <v>13</v>
      </c>
      <c r="W55" s="65">
        <v>13</v>
      </c>
      <c r="X55" s="65">
        <v>13</v>
      </c>
      <c r="Y55" s="65">
        <v>13</v>
      </c>
      <c r="Z55" s="65">
        <v>13</v>
      </c>
      <c r="AA55" s="65">
        <v>13</v>
      </c>
      <c r="AB55" s="65">
        <v>13</v>
      </c>
      <c r="AC55" s="65">
        <v>13</v>
      </c>
      <c r="AD55" s="65">
        <v>13</v>
      </c>
      <c r="AE55" s="65">
        <v>13</v>
      </c>
      <c r="AF55" s="65">
        <v>13</v>
      </c>
      <c r="AG55" s="54">
        <v>24</v>
      </c>
      <c r="AH55" s="47">
        <f t="shared" si="2"/>
        <v>14</v>
      </c>
      <c r="AI55" s="48">
        <f t="shared" si="3"/>
        <v>13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10.5</v>
      </c>
      <c r="C57" s="65">
        <v>10.5</v>
      </c>
      <c r="D57" s="65">
        <v>10.5</v>
      </c>
      <c r="E57" s="65">
        <v>10.5</v>
      </c>
      <c r="F57" s="65">
        <v>10</v>
      </c>
      <c r="G57" s="65">
        <v>10</v>
      </c>
      <c r="H57" s="65">
        <v>10</v>
      </c>
      <c r="I57" s="65">
        <v>9.6</v>
      </c>
      <c r="J57" s="65">
        <v>9.6</v>
      </c>
      <c r="K57" s="65">
        <v>9.6999999999999993</v>
      </c>
      <c r="L57" s="65">
        <v>9.6999999999999993</v>
      </c>
      <c r="M57" s="65">
        <v>9.6999999999999993</v>
      </c>
      <c r="N57" s="65">
        <v>9.6999999999999993</v>
      </c>
      <c r="O57" s="65">
        <v>9.6999999999999993</v>
      </c>
      <c r="P57" s="65">
        <v>9.6999999999999993</v>
      </c>
      <c r="Q57" s="65">
        <v>9.6999999999999993</v>
      </c>
      <c r="R57" s="65">
        <v>9.6999999999999993</v>
      </c>
      <c r="S57" s="65">
        <v>9.6999999999999993</v>
      </c>
      <c r="T57" s="65">
        <v>9.6999999999999993</v>
      </c>
      <c r="U57" s="65">
        <v>9.6999999999999993</v>
      </c>
      <c r="V57" s="65">
        <v>9.6999999999999993</v>
      </c>
      <c r="W57" s="65">
        <v>9.6999999999999993</v>
      </c>
      <c r="X57" s="65">
        <v>9.6999999999999993</v>
      </c>
      <c r="Y57" s="65">
        <v>9.6999999999999993</v>
      </c>
      <c r="Z57" s="65">
        <v>9.6999999999999993</v>
      </c>
      <c r="AA57" s="65">
        <v>9.6999999999999993</v>
      </c>
      <c r="AB57" s="65">
        <v>9.6999999999999993</v>
      </c>
      <c r="AC57" s="65">
        <v>9.6999999999999993</v>
      </c>
      <c r="AD57" s="65">
        <v>9.6999999999999993</v>
      </c>
      <c r="AE57" s="65">
        <v>9.6999999999999993</v>
      </c>
      <c r="AF57" s="65">
        <v>9.6999999999999993</v>
      </c>
      <c r="AG57" s="54">
        <v>14.1</v>
      </c>
      <c r="AH57" s="47">
        <f t="shared" si="2"/>
        <v>10.5</v>
      </c>
      <c r="AI57" s="48">
        <f t="shared" si="3"/>
        <v>9.6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4.9000000000000004</v>
      </c>
      <c r="C58" s="65">
        <v>4.9000000000000004</v>
      </c>
      <c r="D58" s="65">
        <v>4.9000000000000004</v>
      </c>
      <c r="E58" s="65">
        <v>4.9000000000000004</v>
      </c>
      <c r="F58" s="65">
        <v>4.9000000000000004</v>
      </c>
      <c r="G58" s="65">
        <v>4.9000000000000004</v>
      </c>
      <c r="H58" s="65">
        <v>4.9000000000000004</v>
      </c>
      <c r="I58" s="65">
        <v>4.9000000000000004</v>
      </c>
      <c r="J58" s="65">
        <v>4.9000000000000004</v>
      </c>
      <c r="K58" s="65">
        <v>3.8</v>
      </c>
      <c r="L58" s="65">
        <v>3.8</v>
      </c>
      <c r="M58" s="65">
        <v>3.8</v>
      </c>
      <c r="N58" s="65">
        <v>3.8</v>
      </c>
      <c r="O58" s="65">
        <v>3.8</v>
      </c>
      <c r="P58" s="65">
        <v>3.8</v>
      </c>
      <c r="Q58" s="65">
        <v>3.8</v>
      </c>
      <c r="R58" s="65">
        <v>3.8</v>
      </c>
      <c r="S58" s="65">
        <v>3.8</v>
      </c>
      <c r="T58" s="65">
        <v>3.8</v>
      </c>
      <c r="U58" s="65">
        <v>3.8</v>
      </c>
      <c r="V58" s="65">
        <v>3.8</v>
      </c>
      <c r="W58" s="65">
        <v>3.8</v>
      </c>
      <c r="X58" s="65">
        <v>3.8</v>
      </c>
      <c r="Y58" s="65">
        <v>3.8</v>
      </c>
      <c r="Z58" s="65">
        <v>3.8</v>
      </c>
      <c r="AA58" s="65">
        <v>3.8</v>
      </c>
      <c r="AB58" s="65">
        <v>3.8</v>
      </c>
      <c r="AC58" s="65">
        <v>3.8</v>
      </c>
      <c r="AD58" s="65">
        <v>3.8</v>
      </c>
      <c r="AE58" s="65">
        <v>3.8</v>
      </c>
      <c r="AF58" s="65">
        <v>3.8</v>
      </c>
      <c r="AG58" s="54">
        <v>14</v>
      </c>
      <c r="AH58" s="47">
        <f t="shared" si="2"/>
        <v>4.9000000000000004</v>
      </c>
      <c r="AI58" s="48">
        <f t="shared" si="3"/>
        <v>3.8</v>
      </c>
      <c r="AK58" s="49"/>
    </row>
    <row r="59" spans="1:41" x14ac:dyDescent="0.25">
      <c r="A59" s="53" t="s">
        <v>67</v>
      </c>
      <c r="B59" s="65">
        <v>4.5</v>
      </c>
      <c r="C59" s="65">
        <v>4.5</v>
      </c>
      <c r="D59" s="65">
        <v>4.5</v>
      </c>
      <c r="E59" s="65">
        <v>4.5</v>
      </c>
      <c r="F59" s="65">
        <v>4.5</v>
      </c>
      <c r="G59" s="65">
        <v>4.5</v>
      </c>
      <c r="H59" s="65">
        <v>4.5</v>
      </c>
      <c r="I59" s="65">
        <v>4.5</v>
      </c>
      <c r="J59" s="65">
        <v>4.5</v>
      </c>
      <c r="K59" s="65">
        <v>4.5</v>
      </c>
      <c r="L59" s="65">
        <v>4.5</v>
      </c>
      <c r="M59" s="65">
        <v>4.5</v>
      </c>
      <c r="N59" s="65">
        <v>4.5</v>
      </c>
      <c r="O59" s="65">
        <v>4.5</v>
      </c>
      <c r="P59" s="65">
        <v>4.5</v>
      </c>
      <c r="Q59" s="65">
        <v>4.5</v>
      </c>
      <c r="R59" s="65">
        <v>4.5</v>
      </c>
      <c r="S59" s="65">
        <v>4.5</v>
      </c>
      <c r="T59" s="65">
        <v>4.5</v>
      </c>
      <c r="U59" s="65">
        <v>4.5</v>
      </c>
      <c r="V59" s="65">
        <v>4.5</v>
      </c>
      <c r="W59" s="65">
        <v>4.5</v>
      </c>
      <c r="X59" s="65">
        <v>4.5</v>
      </c>
      <c r="Y59" s="65">
        <v>4.5</v>
      </c>
      <c r="Z59" s="65">
        <v>4.5</v>
      </c>
      <c r="AA59" s="65">
        <v>4.5</v>
      </c>
      <c r="AB59" s="65">
        <v>4.5</v>
      </c>
      <c r="AC59" s="65">
        <v>4.5</v>
      </c>
      <c r="AD59" s="65">
        <v>4.5</v>
      </c>
      <c r="AE59" s="65">
        <v>4.5</v>
      </c>
      <c r="AF59" s="65">
        <v>4.5</v>
      </c>
      <c r="AG59" s="54">
        <v>10.050000000000001</v>
      </c>
      <c r="AH59" s="47">
        <f t="shared" si="2"/>
        <v>4.5</v>
      </c>
      <c r="AI59" s="48">
        <f t="shared" si="3"/>
        <v>4.5</v>
      </c>
      <c r="AK59" s="49"/>
    </row>
    <row r="60" spans="1:41" x14ac:dyDescent="0.25">
      <c r="A60" s="53" t="s">
        <v>68</v>
      </c>
      <c r="B60" s="65">
        <v>2.25</v>
      </c>
      <c r="C60" s="65">
        <v>2.25</v>
      </c>
      <c r="D60" s="65">
        <v>2.25</v>
      </c>
      <c r="E60" s="65">
        <v>2.25</v>
      </c>
      <c r="F60" s="65">
        <v>2.25</v>
      </c>
      <c r="G60" s="65">
        <v>2.25</v>
      </c>
      <c r="H60" s="65">
        <v>2.25</v>
      </c>
      <c r="I60" s="65">
        <v>2.25</v>
      </c>
      <c r="J60" s="65">
        <v>2.25</v>
      </c>
      <c r="K60" s="65">
        <v>2.25</v>
      </c>
      <c r="L60" s="65">
        <v>2.25</v>
      </c>
      <c r="M60" s="65">
        <v>2.25</v>
      </c>
      <c r="N60" s="65">
        <v>2.25</v>
      </c>
      <c r="O60" s="65">
        <v>2.25</v>
      </c>
      <c r="P60" s="65">
        <v>2.25</v>
      </c>
      <c r="Q60" s="65">
        <v>2.25</v>
      </c>
      <c r="R60" s="65">
        <v>2.25</v>
      </c>
      <c r="S60" s="65">
        <v>2.25</v>
      </c>
      <c r="T60" s="65">
        <v>2.25</v>
      </c>
      <c r="U60" s="65">
        <v>2.25</v>
      </c>
      <c r="V60" s="65">
        <v>2.25</v>
      </c>
      <c r="W60" s="65">
        <v>2.25</v>
      </c>
      <c r="X60" s="65">
        <v>2.25</v>
      </c>
      <c r="Y60" s="65">
        <v>2.25</v>
      </c>
      <c r="Z60" s="65">
        <v>2.25</v>
      </c>
      <c r="AA60" s="65">
        <v>2.25</v>
      </c>
      <c r="AB60" s="65">
        <v>2.25</v>
      </c>
      <c r="AC60" s="65">
        <v>2.25</v>
      </c>
      <c r="AD60" s="65">
        <v>2.25</v>
      </c>
      <c r="AE60" s="65">
        <v>2.25</v>
      </c>
      <c r="AF60" s="65">
        <v>2.25</v>
      </c>
      <c r="AG60" s="54">
        <v>6.2</v>
      </c>
      <c r="AH60" s="47">
        <f t="shared" si="2"/>
        <v>2.25</v>
      </c>
      <c r="AI60" s="48">
        <f t="shared" si="3"/>
        <v>2.25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98.890000000000015</v>
      </c>
      <c r="C62" s="60">
        <f t="shared" si="6"/>
        <v>98.890000000000015</v>
      </c>
      <c r="D62" s="60">
        <f t="shared" si="6"/>
        <v>86.990000000000023</v>
      </c>
      <c r="E62" s="60">
        <f t="shared" si="6"/>
        <v>86.990000000000023</v>
      </c>
      <c r="F62" s="60">
        <f t="shared" si="6"/>
        <v>86.190000000000012</v>
      </c>
      <c r="G62" s="60">
        <f t="shared" si="6"/>
        <v>85.390000000000015</v>
      </c>
      <c r="H62" s="60">
        <f t="shared" si="6"/>
        <v>173.29</v>
      </c>
      <c r="I62" s="60">
        <f t="shared" si="6"/>
        <v>191.88999999999996</v>
      </c>
      <c r="J62" s="60">
        <f t="shared" si="6"/>
        <v>274.78999999999996</v>
      </c>
      <c r="K62" s="60">
        <f t="shared" si="6"/>
        <v>326.39000000000004</v>
      </c>
      <c r="L62" s="60">
        <f t="shared" si="6"/>
        <v>328.99000000000007</v>
      </c>
      <c r="M62" s="60">
        <f t="shared" si="6"/>
        <v>323.39</v>
      </c>
      <c r="N62" s="60">
        <f t="shared" si="6"/>
        <v>247.58999999999995</v>
      </c>
      <c r="O62" s="60">
        <f t="shared" si="6"/>
        <v>228.88999999999996</v>
      </c>
      <c r="P62" s="60">
        <f t="shared" si="6"/>
        <v>250.48999999999995</v>
      </c>
      <c r="Q62" s="60">
        <f t="shared" si="6"/>
        <v>291.79000000000002</v>
      </c>
      <c r="R62" s="60">
        <f t="shared" si="6"/>
        <v>282.09000000000003</v>
      </c>
      <c r="S62" s="60">
        <f t="shared" si="6"/>
        <v>238.98999999999995</v>
      </c>
      <c r="T62" s="60">
        <f t="shared" si="6"/>
        <v>212.58999999999997</v>
      </c>
      <c r="U62" s="60">
        <f t="shared" si="6"/>
        <v>227.38999999999996</v>
      </c>
      <c r="V62" s="60">
        <f t="shared" si="6"/>
        <v>227.38999999999996</v>
      </c>
      <c r="W62" s="60">
        <f t="shared" si="6"/>
        <v>190.18999999999997</v>
      </c>
      <c r="X62" s="60">
        <f t="shared" si="6"/>
        <v>259.69</v>
      </c>
      <c r="Y62" s="60">
        <f t="shared" si="6"/>
        <v>348.75</v>
      </c>
      <c r="Z62" s="60">
        <f t="shared" si="6"/>
        <v>348.59000000000003</v>
      </c>
      <c r="AA62" s="60">
        <f t="shared" si="6"/>
        <v>370.79</v>
      </c>
      <c r="AB62" s="60">
        <f t="shared" si="6"/>
        <v>274.39000000000004</v>
      </c>
      <c r="AC62" s="60">
        <f t="shared" si="6"/>
        <v>243.08999999999997</v>
      </c>
      <c r="AD62" s="60">
        <f t="shared" si="6"/>
        <v>247.08999999999997</v>
      </c>
      <c r="AE62" s="60">
        <f t="shared" si="6"/>
        <v>194.08999999999997</v>
      </c>
      <c r="AF62" s="60">
        <f t="shared" si="6"/>
        <v>161.08999999999997</v>
      </c>
      <c r="AG62" s="61">
        <f t="shared" si="6"/>
        <v>489.91</v>
      </c>
      <c r="AH62" s="47">
        <f t="shared" si="2"/>
        <v>370.79</v>
      </c>
      <c r="AI62" s="48">
        <f t="shared" si="3"/>
        <v>85.390000000000015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30</v>
      </c>
      <c r="T63" s="45">
        <v>60</v>
      </c>
      <c r="U63" s="45">
        <v>40</v>
      </c>
      <c r="V63" s="45">
        <v>40</v>
      </c>
      <c r="W63" s="45">
        <v>40</v>
      </c>
      <c r="X63" s="45">
        <v>30</v>
      </c>
      <c r="Y63" s="45">
        <v>45</v>
      </c>
      <c r="Z63" s="45">
        <v>30</v>
      </c>
      <c r="AA63" s="45">
        <v>30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45">
        <v>0</v>
      </c>
      <c r="S64" s="65">
        <v>10.6</v>
      </c>
      <c r="T64" s="65">
        <v>28.2</v>
      </c>
      <c r="U64" s="65">
        <v>27.4</v>
      </c>
      <c r="V64" s="65">
        <v>27.4</v>
      </c>
      <c r="W64" s="65">
        <v>27.4</v>
      </c>
      <c r="X64" s="65">
        <v>7.5</v>
      </c>
      <c r="Y64" s="65">
        <v>17</v>
      </c>
      <c r="Z64" s="65">
        <v>20</v>
      </c>
      <c r="AA64" s="65">
        <v>14.2</v>
      </c>
      <c r="AB64" s="65">
        <v>0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28.2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45">
        <v>0</v>
      </c>
      <c r="S65" s="67">
        <v>3.9</v>
      </c>
      <c r="T65" s="67">
        <v>10.3</v>
      </c>
      <c r="U65" s="67">
        <v>10</v>
      </c>
      <c r="V65" s="67">
        <v>10</v>
      </c>
      <c r="W65" s="67">
        <v>10</v>
      </c>
      <c r="X65" s="67">
        <v>2.7</v>
      </c>
      <c r="Y65" s="67">
        <v>6</v>
      </c>
      <c r="Z65" s="67">
        <v>7.5</v>
      </c>
      <c r="AA65" s="67">
        <v>5.2</v>
      </c>
      <c r="AB65" s="67">
        <v>0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44.5</v>
      </c>
      <c r="T66" s="60">
        <f t="shared" si="7"/>
        <v>98.5</v>
      </c>
      <c r="U66" s="60">
        <f t="shared" si="7"/>
        <v>77.400000000000006</v>
      </c>
      <c r="V66" s="60">
        <f t="shared" si="7"/>
        <v>77.400000000000006</v>
      </c>
      <c r="W66" s="60">
        <f t="shared" si="7"/>
        <v>77.400000000000006</v>
      </c>
      <c r="X66" s="60">
        <f t="shared" si="7"/>
        <v>40.200000000000003</v>
      </c>
      <c r="Y66" s="60">
        <f t="shared" si="7"/>
        <v>68</v>
      </c>
      <c r="Z66" s="60">
        <f t="shared" si="7"/>
        <v>57.5</v>
      </c>
      <c r="AA66" s="60">
        <f t="shared" si="7"/>
        <v>49.400000000000006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98.5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320</v>
      </c>
      <c r="C69" s="65">
        <v>307</v>
      </c>
      <c r="D69" s="65">
        <v>307</v>
      </c>
      <c r="E69" s="65">
        <v>313</v>
      </c>
      <c r="F69" s="65">
        <v>319</v>
      </c>
      <c r="G69" s="65">
        <v>350</v>
      </c>
      <c r="H69" s="65">
        <v>356</v>
      </c>
      <c r="I69" s="65">
        <v>354</v>
      </c>
      <c r="J69" s="65">
        <v>162</v>
      </c>
      <c r="K69" s="65">
        <v>45</v>
      </c>
      <c r="L69" s="65">
        <v>2.2000000000000002</v>
      </c>
      <c r="M69" s="65">
        <v>9.5</v>
      </c>
      <c r="N69" s="65">
        <v>345.3</v>
      </c>
      <c r="O69" s="65">
        <v>345.1</v>
      </c>
      <c r="P69" s="65">
        <v>353.4</v>
      </c>
      <c r="Q69" s="65">
        <v>366.9</v>
      </c>
      <c r="R69" s="65">
        <v>353.6</v>
      </c>
      <c r="S69" s="65">
        <v>359</v>
      </c>
      <c r="T69" s="65">
        <v>344</v>
      </c>
      <c r="U69" s="65">
        <v>346.6</v>
      </c>
      <c r="V69" s="65">
        <v>180</v>
      </c>
      <c r="W69" s="65">
        <v>330</v>
      </c>
      <c r="X69" s="65">
        <v>340</v>
      </c>
      <c r="Y69" s="65">
        <v>216</v>
      </c>
      <c r="Z69" s="65">
        <v>131.6</v>
      </c>
      <c r="AA69" s="65">
        <v>53.1</v>
      </c>
      <c r="AB69" s="65">
        <v>335</v>
      </c>
      <c r="AC69" s="65">
        <v>341</v>
      </c>
      <c r="AD69" s="65">
        <v>343</v>
      </c>
      <c r="AE69" s="65">
        <v>335</v>
      </c>
      <c r="AF69" s="65">
        <v>332</v>
      </c>
      <c r="AG69" s="75"/>
      <c r="AH69" s="47">
        <f t="shared" si="2"/>
        <v>366.9</v>
      </c>
      <c r="AI69" s="48">
        <f t="shared" si="3"/>
        <v>2.2000000000000002</v>
      </c>
      <c r="AK69" s="49"/>
    </row>
    <row r="70" spans="1:40" x14ac:dyDescent="0.25">
      <c r="A70" s="53" t="s">
        <v>78</v>
      </c>
      <c r="B70" s="76">
        <v>49</v>
      </c>
      <c r="C70" s="76">
        <v>49</v>
      </c>
      <c r="D70" s="76">
        <v>49</v>
      </c>
      <c r="E70" s="76">
        <v>46.6</v>
      </c>
      <c r="F70" s="76">
        <v>49.3</v>
      </c>
      <c r="G70" s="76">
        <v>53.9</v>
      </c>
      <c r="H70" s="76">
        <v>58.1</v>
      </c>
      <c r="I70" s="76">
        <v>56.8</v>
      </c>
      <c r="J70" s="76">
        <v>63.8</v>
      </c>
      <c r="K70" s="76">
        <v>62.7</v>
      </c>
      <c r="L70" s="76">
        <v>62.2</v>
      </c>
      <c r="M70" s="76">
        <v>66.900000000000006</v>
      </c>
      <c r="N70" s="76">
        <v>65.7</v>
      </c>
      <c r="O70" s="76">
        <v>63.6</v>
      </c>
      <c r="P70" s="76">
        <v>68.2</v>
      </c>
      <c r="Q70" s="76">
        <v>56.6</v>
      </c>
      <c r="R70" s="76">
        <v>62.9</v>
      </c>
      <c r="S70" s="76">
        <v>68.5</v>
      </c>
      <c r="T70" s="76">
        <v>58.2</v>
      </c>
      <c r="U70" s="76">
        <v>68.5</v>
      </c>
      <c r="V70" s="76">
        <v>67</v>
      </c>
      <c r="W70" s="76">
        <v>67</v>
      </c>
      <c r="X70" s="65">
        <v>59</v>
      </c>
      <c r="Y70" s="65">
        <v>64</v>
      </c>
      <c r="Z70" s="65">
        <v>65.400000000000006</v>
      </c>
      <c r="AA70" s="65">
        <v>63.4</v>
      </c>
      <c r="AB70" s="65">
        <v>60</v>
      </c>
      <c r="AC70" s="65">
        <v>60</v>
      </c>
      <c r="AD70" s="65">
        <v>60</v>
      </c>
      <c r="AE70" s="65">
        <v>60</v>
      </c>
      <c r="AF70" s="65">
        <v>54</v>
      </c>
      <c r="AG70" s="75"/>
      <c r="AH70" s="47">
        <f t="shared" si="2"/>
        <v>68.5</v>
      </c>
      <c r="AI70" s="48">
        <f t="shared" si="3"/>
        <v>46.6</v>
      </c>
      <c r="AK70" s="49"/>
    </row>
    <row r="71" spans="1:40" x14ac:dyDescent="0.25">
      <c r="A71" s="53" t="s">
        <v>79</v>
      </c>
      <c r="B71" s="45">
        <v>75</v>
      </c>
      <c r="C71" s="45">
        <v>72</v>
      </c>
      <c r="D71" s="45">
        <v>72.3</v>
      </c>
      <c r="E71" s="45">
        <v>72.400000000000006</v>
      </c>
      <c r="F71" s="45">
        <v>71.599999999999994</v>
      </c>
      <c r="G71" s="45">
        <v>71.599999999999994</v>
      </c>
      <c r="H71" s="45">
        <v>71</v>
      </c>
      <c r="I71" s="45">
        <v>56</v>
      </c>
      <c r="J71" s="45">
        <v>60</v>
      </c>
      <c r="K71" s="45">
        <v>56.3</v>
      </c>
      <c r="L71" s="45">
        <v>48</v>
      </c>
      <c r="M71" s="45">
        <v>65</v>
      </c>
      <c r="N71" s="45">
        <v>68</v>
      </c>
      <c r="O71" s="45">
        <v>71</v>
      </c>
      <c r="P71" s="45">
        <v>75</v>
      </c>
      <c r="Q71" s="45">
        <v>75</v>
      </c>
      <c r="R71" s="45">
        <v>75</v>
      </c>
      <c r="S71" s="45">
        <v>75</v>
      </c>
      <c r="T71" s="45">
        <v>75</v>
      </c>
      <c r="U71" s="45">
        <v>75</v>
      </c>
      <c r="V71" s="45">
        <v>78</v>
      </c>
      <c r="W71" s="45">
        <v>78</v>
      </c>
      <c r="X71" s="45">
        <v>63</v>
      </c>
      <c r="Y71" s="45">
        <v>65</v>
      </c>
      <c r="Z71" s="45">
        <v>67</v>
      </c>
      <c r="AA71" s="45">
        <v>67</v>
      </c>
      <c r="AB71" s="45">
        <v>63</v>
      </c>
      <c r="AC71" s="45">
        <v>63</v>
      </c>
      <c r="AD71" s="45">
        <v>80</v>
      </c>
      <c r="AE71" s="45">
        <v>84</v>
      </c>
      <c r="AF71" s="45">
        <v>80</v>
      </c>
      <c r="AG71" s="75"/>
      <c r="AH71" s="47">
        <f t="shared" si="2"/>
        <v>84</v>
      </c>
      <c r="AI71" s="48">
        <f t="shared" si="3"/>
        <v>48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449</v>
      </c>
      <c r="C78" s="60">
        <f t="shared" si="10"/>
        <v>433</v>
      </c>
      <c r="D78" s="60">
        <f t="shared" si="10"/>
        <v>433.3</v>
      </c>
      <c r="E78" s="60">
        <f t="shared" si="10"/>
        <v>437</v>
      </c>
      <c r="F78" s="60">
        <f t="shared" si="10"/>
        <v>444.9</v>
      </c>
      <c r="G78" s="60">
        <f t="shared" si="10"/>
        <v>480.5</v>
      </c>
      <c r="H78" s="60">
        <f t="shared" si="10"/>
        <v>490.1</v>
      </c>
      <c r="I78" s="60">
        <f t="shared" si="10"/>
        <v>471.8</v>
      </c>
      <c r="J78" s="60">
        <f t="shared" si="10"/>
        <v>290.8</v>
      </c>
      <c r="K78" s="60">
        <f t="shared" si="10"/>
        <v>169</v>
      </c>
      <c r="L78" s="60">
        <f t="shared" si="10"/>
        <v>117.4</v>
      </c>
      <c r="M78" s="60">
        <f t="shared" si="10"/>
        <v>146.4</v>
      </c>
      <c r="N78" s="60">
        <f t="shared" si="10"/>
        <v>484</v>
      </c>
      <c r="O78" s="60">
        <f t="shared" si="10"/>
        <v>484.70000000000005</v>
      </c>
      <c r="P78" s="60">
        <f t="shared" si="10"/>
        <v>501.59999999999997</v>
      </c>
      <c r="Q78" s="60">
        <f t="shared" si="10"/>
        <v>503.5</v>
      </c>
      <c r="R78" s="60">
        <f t="shared" si="10"/>
        <v>496.5</v>
      </c>
      <c r="S78" s="60">
        <f t="shared" si="10"/>
        <v>507.5</v>
      </c>
      <c r="T78" s="60">
        <f t="shared" si="10"/>
        <v>482.2</v>
      </c>
      <c r="U78" s="60">
        <f t="shared" si="10"/>
        <v>495.1</v>
      </c>
      <c r="V78" s="60">
        <f t="shared" si="10"/>
        <v>330</v>
      </c>
      <c r="W78" s="60">
        <f t="shared" si="10"/>
        <v>480</v>
      </c>
      <c r="X78" s="60">
        <f t="shared" si="10"/>
        <v>467</v>
      </c>
      <c r="Y78" s="60">
        <f t="shared" si="10"/>
        <v>350</v>
      </c>
      <c r="Z78" s="60">
        <f t="shared" si="10"/>
        <v>269</v>
      </c>
      <c r="AA78" s="60">
        <f t="shared" si="10"/>
        <v>188.5</v>
      </c>
      <c r="AB78" s="60">
        <f t="shared" si="10"/>
        <v>463</v>
      </c>
      <c r="AC78" s="60">
        <f t="shared" si="10"/>
        <v>469</v>
      </c>
      <c r="AD78" s="60">
        <f t="shared" si="10"/>
        <v>488</v>
      </c>
      <c r="AE78" s="60">
        <f t="shared" si="10"/>
        <v>484</v>
      </c>
      <c r="AF78" s="60">
        <f t="shared" si="10"/>
        <v>471</v>
      </c>
      <c r="AG78" s="88">
        <f>SUM(AG67:AG77)</f>
        <v>0</v>
      </c>
      <c r="AH78" s="47">
        <f t="shared" si="8"/>
        <v>507.5</v>
      </c>
      <c r="AI78" s="48">
        <f t="shared" si="9"/>
        <v>117.4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958.59</v>
      </c>
      <c r="C83" s="95">
        <f t="shared" ref="C83:AG83" si="11">C44+C48+C66+C62+C78+C82</f>
        <v>927.59</v>
      </c>
      <c r="D83" s="95">
        <f t="shared" si="11"/>
        <v>915.99</v>
      </c>
      <c r="E83" s="95">
        <f t="shared" si="11"/>
        <v>919.69</v>
      </c>
      <c r="F83" s="95">
        <f t="shared" si="11"/>
        <v>928.58999999999992</v>
      </c>
      <c r="G83" s="95">
        <f t="shared" si="11"/>
        <v>963.39</v>
      </c>
      <c r="H83" s="95">
        <f t="shared" si="11"/>
        <v>1060.69</v>
      </c>
      <c r="I83" s="95">
        <f t="shared" si="11"/>
        <v>1090.69</v>
      </c>
      <c r="J83" s="95">
        <f t="shared" si="11"/>
        <v>1214.99</v>
      </c>
      <c r="K83" s="95">
        <f t="shared" si="11"/>
        <v>1271.0900000000001</v>
      </c>
      <c r="L83" s="95">
        <f t="shared" si="11"/>
        <v>1298.2900000000002</v>
      </c>
      <c r="M83" s="95">
        <f t="shared" si="11"/>
        <v>1286.0900000000001</v>
      </c>
      <c r="N83" s="95">
        <f t="shared" si="11"/>
        <v>1187.8899999999999</v>
      </c>
      <c r="O83" s="95">
        <f t="shared" si="11"/>
        <v>1159.8899999999999</v>
      </c>
      <c r="P83" s="95">
        <f t="shared" si="11"/>
        <v>1163.3899999999999</v>
      </c>
      <c r="Q83" s="95">
        <f t="shared" si="11"/>
        <v>1208.3899999999999</v>
      </c>
      <c r="R83" s="95">
        <f t="shared" si="11"/>
        <v>1191.69</v>
      </c>
      <c r="S83" s="95">
        <f t="shared" si="11"/>
        <v>1239.0899999999999</v>
      </c>
      <c r="T83" s="95">
        <f t="shared" si="11"/>
        <v>1261.3899999999999</v>
      </c>
      <c r="U83" s="95">
        <f t="shared" si="11"/>
        <v>1264.99</v>
      </c>
      <c r="V83" s="95">
        <f t="shared" si="11"/>
        <v>1161.49</v>
      </c>
      <c r="W83" s="95">
        <f t="shared" si="11"/>
        <v>1159.29</v>
      </c>
      <c r="X83" s="95">
        <f t="shared" si="11"/>
        <v>1210.5899999999999</v>
      </c>
      <c r="Y83" s="95">
        <f t="shared" si="11"/>
        <v>1409.85</v>
      </c>
      <c r="Z83" s="95">
        <f t="shared" si="11"/>
        <v>1378.19</v>
      </c>
      <c r="AA83" s="95">
        <f t="shared" si="11"/>
        <v>1316.79</v>
      </c>
      <c r="AB83" s="95">
        <f t="shared" si="11"/>
        <v>1211.79</v>
      </c>
      <c r="AC83" s="95">
        <f t="shared" si="11"/>
        <v>1186.49</v>
      </c>
      <c r="AD83" s="95">
        <f t="shared" si="11"/>
        <v>1215.49</v>
      </c>
      <c r="AE83" s="95">
        <f t="shared" si="11"/>
        <v>1124.29</v>
      </c>
      <c r="AF83" s="95">
        <f t="shared" si="11"/>
        <v>1052.49</v>
      </c>
      <c r="AG83" s="61">
        <f t="shared" si="11"/>
        <v>2004.1900000000003</v>
      </c>
      <c r="AH83" s="47">
        <f>MAX(B83:AF83)</f>
        <v>1409.85</v>
      </c>
      <c r="AI83" s="48">
        <f>MIN(B83:AF83)</f>
        <v>915.99</v>
      </c>
    </row>
    <row r="84" spans="1:37" ht="15.75" thickBot="1" x14ac:dyDescent="0.3">
      <c r="A84" s="96" t="s">
        <v>95</v>
      </c>
      <c r="B84" s="97">
        <v>60</v>
      </c>
      <c r="C84" s="97">
        <v>60</v>
      </c>
      <c r="D84" s="97">
        <v>60</v>
      </c>
      <c r="E84" s="97">
        <v>60</v>
      </c>
      <c r="F84" s="97">
        <v>60</v>
      </c>
      <c r="G84" s="97">
        <v>60</v>
      </c>
      <c r="H84" s="97">
        <v>60</v>
      </c>
      <c r="I84" s="97">
        <v>60</v>
      </c>
      <c r="J84" s="97">
        <v>60</v>
      </c>
      <c r="K84" s="97">
        <v>100</v>
      </c>
      <c r="L84" s="97">
        <v>220</v>
      </c>
      <c r="M84" s="97">
        <v>180</v>
      </c>
      <c r="N84" s="97">
        <v>150</v>
      </c>
      <c r="O84" s="97">
        <v>150</v>
      </c>
      <c r="P84" s="97">
        <v>60</v>
      </c>
      <c r="Q84" s="97">
        <v>60</v>
      </c>
      <c r="R84" s="97">
        <v>60</v>
      </c>
      <c r="S84" s="97">
        <v>60</v>
      </c>
      <c r="T84" s="97">
        <v>60</v>
      </c>
      <c r="U84" s="97">
        <v>60</v>
      </c>
      <c r="V84" s="97">
        <v>60</v>
      </c>
      <c r="W84" s="97">
        <v>150</v>
      </c>
      <c r="X84" s="97">
        <v>200</v>
      </c>
      <c r="Y84" s="97">
        <v>200</v>
      </c>
      <c r="Z84" s="97">
        <v>200</v>
      </c>
      <c r="AA84" s="97">
        <v>200</v>
      </c>
      <c r="AB84" s="97">
        <v>150</v>
      </c>
      <c r="AC84" s="97">
        <v>150</v>
      </c>
      <c r="AD84" s="97">
        <v>0</v>
      </c>
      <c r="AE84" s="97">
        <v>0</v>
      </c>
      <c r="AF84" s="97">
        <v>0</v>
      </c>
      <c r="AG84" s="88"/>
      <c r="AH84" s="47">
        <f t="shared" si="8"/>
        <v>220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1018.59</v>
      </c>
      <c r="C85" s="95">
        <f t="shared" ref="C85:AF85" si="12">C83+C84</f>
        <v>987.59</v>
      </c>
      <c r="D85" s="95">
        <f t="shared" si="12"/>
        <v>975.99</v>
      </c>
      <c r="E85" s="95">
        <f t="shared" si="12"/>
        <v>979.69</v>
      </c>
      <c r="F85" s="95">
        <f t="shared" si="12"/>
        <v>988.58999999999992</v>
      </c>
      <c r="G85" s="95">
        <f t="shared" si="12"/>
        <v>1023.39</v>
      </c>
      <c r="H85" s="95">
        <f t="shared" si="12"/>
        <v>1120.69</v>
      </c>
      <c r="I85" s="95">
        <f t="shared" si="12"/>
        <v>1150.69</v>
      </c>
      <c r="J85" s="95">
        <f t="shared" si="12"/>
        <v>1274.99</v>
      </c>
      <c r="K85" s="95">
        <f t="shared" si="12"/>
        <v>1371.0900000000001</v>
      </c>
      <c r="L85" s="95">
        <f t="shared" si="12"/>
        <v>1518.2900000000002</v>
      </c>
      <c r="M85" s="95">
        <f t="shared" si="12"/>
        <v>1466.0900000000001</v>
      </c>
      <c r="N85" s="95">
        <f t="shared" si="12"/>
        <v>1337.8899999999999</v>
      </c>
      <c r="O85" s="95">
        <f t="shared" si="12"/>
        <v>1309.8899999999999</v>
      </c>
      <c r="P85" s="95">
        <f t="shared" si="12"/>
        <v>1223.3899999999999</v>
      </c>
      <c r="Q85" s="95">
        <f t="shared" si="12"/>
        <v>1268.3899999999999</v>
      </c>
      <c r="R85" s="95">
        <f t="shared" si="12"/>
        <v>1251.69</v>
      </c>
      <c r="S85" s="95">
        <f t="shared" si="12"/>
        <v>1299.0899999999999</v>
      </c>
      <c r="T85" s="95">
        <f t="shared" si="12"/>
        <v>1321.3899999999999</v>
      </c>
      <c r="U85" s="95">
        <f t="shared" si="12"/>
        <v>1324.99</v>
      </c>
      <c r="V85" s="95">
        <f t="shared" si="12"/>
        <v>1221.49</v>
      </c>
      <c r="W85" s="95">
        <f t="shared" si="12"/>
        <v>1309.29</v>
      </c>
      <c r="X85" s="95">
        <f t="shared" si="12"/>
        <v>1410.59</v>
      </c>
      <c r="Y85" s="95">
        <f t="shared" si="12"/>
        <v>1609.85</v>
      </c>
      <c r="Z85" s="95">
        <f t="shared" si="12"/>
        <v>1578.19</v>
      </c>
      <c r="AA85" s="95">
        <f t="shared" si="12"/>
        <v>1516.79</v>
      </c>
      <c r="AB85" s="95">
        <f t="shared" si="12"/>
        <v>1361.79</v>
      </c>
      <c r="AC85" s="95">
        <f t="shared" si="12"/>
        <v>1336.49</v>
      </c>
      <c r="AD85" s="95">
        <f t="shared" si="12"/>
        <v>1215.49</v>
      </c>
      <c r="AE85" s="95">
        <f t="shared" si="12"/>
        <v>1124.29</v>
      </c>
      <c r="AF85" s="95">
        <f t="shared" si="12"/>
        <v>1052.49</v>
      </c>
      <c r="AG85" s="88">
        <f>AG82+AG78+AG66+AG62+AG44+AG84</f>
        <v>1466.0900000000001</v>
      </c>
      <c r="AH85" s="47">
        <f t="shared" si="8"/>
        <v>1609.85</v>
      </c>
      <c r="AI85" s="48">
        <f t="shared" si="9"/>
        <v>975.99</v>
      </c>
    </row>
    <row r="86" spans="1:37" ht="15.75" thickBot="1" x14ac:dyDescent="0.3">
      <c r="A86" s="74" t="s">
        <v>97</v>
      </c>
      <c r="B86" s="95">
        <f t="shared" ref="B86:AF86" si="13">B85-B93</f>
        <v>1018.59</v>
      </c>
      <c r="C86" s="95">
        <f t="shared" si="13"/>
        <v>987.59</v>
      </c>
      <c r="D86" s="95">
        <f t="shared" si="13"/>
        <v>975.99</v>
      </c>
      <c r="E86" s="95">
        <f t="shared" si="13"/>
        <v>979.69</v>
      </c>
      <c r="F86" s="95">
        <f t="shared" si="13"/>
        <v>988.58999999999992</v>
      </c>
      <c r="G86" s="95">
        <f t="shared" si="13"/>
        <v>1023.39</v>
      </c>
      <c r="H86" s="95">
        <f t="shared" si="13"/>
        <v>1120.69</v>
      </c>
      <c r="I86" s="95">
        <f t="shared" si="13"/>
        <v>1150.69</v>
      </c>
      <c r="J86" s="95">
        <f t="shared" si="13"/>
        <v>1274.99</v>
      </c>
      <c r="K86" s="95">
        <f t="shared" si="13"/>
        <v>1371.0900000000001</v>
      </c>
      <c r="L86" s="95">
        <f t="shared" si="13"/>
        <v>1518.2900000000002</v>
      </c>
      <c r="M86" s="95">
        <f t="shared" si="13"/>
        <v>1466.0900000000001</v>
      </c>
      <c r="N86" s="95">
        <f t="shared" si="13"/>
        <v>1337.8899999999999</v>
      </c>
      <c r="O86" s="95">
        <f t="shared" si="13"/>
        <v>1309.8899999999999</v>
      </c>
      <c r="P86" s="95">
        <f t="shared" si="13"/>
        <v>1223.3899999999999</v>
      </c>
      <c r="Q86" s="95">
        <f t="shared" si="13"/>
        <v>1268.3899999999999</v>
      </c>
      <c r="R86" s="95">
        <f t="shared" si="13"/>
        <v>1251.69</v>
      </c>
      <c r="S86" s="95">
        <f t="shared" si="13"/>
        <v>1299.0899999999999</v>
      </c>
      <c r="T86" s="95">
        <f t="shared" si="13"/>
        <v>1321.3899999999999</v>
      </c>
      <c r="U86" s="95">
        <f t="shared" si="13"/>
        <v>1324.99</v>
      </c>
      <c r="V86" s="95">
        <f t="shared" si="13"/>
        <v>1221.49</v>
      </c>
      <c r="W86" s="95">
        <f t="shared" si="13"/>
        <v>1309.29</v>
      </c>
      <c r="X86" s="95">
        <f t="shared" si="13"/>
        <v>1410.59</v>
      </c>
      <c r="Y86" s="95">
        <f t="shared" si="13"/>
        <v>1609.85</v>
      </c>
      <c r="Z86" s="95">
        <f t="shared" si="13"/>
        <v>1578.19</v>
      </c>
      <c r="AA86" s="95">
        <f t="shared" si="13"/>
        <v>1516.79</v>
      </c>
      <c r="AB86" s="95">
        <f t="shared" si="13"/>
        <v>1361.79</v>
      </c>
      <c r="AC86" s="95">
        <f t="shared" si="13"/>
        <v>1336.49</v>
      </c>
      <c r="AD86" s="95">
        <f t="shared" si="13"/>
        <v>1215.49</v>
      </c>
      <c r="AE86" s="95">
        <f t="shared" si="13"/>
        <v>1124.29</v>
      </c>
      <c r="AF86" s="95">
        <f t="shared" si="13"/>
        <v>1052.49</v>
      </c>
      <c r="AG86" s="88"/>
      <c r="AH86" s="47">
        <f t="shared" si="8"/>
        <v>1609.85</v>
      </c>
      <c r="AI86" s="48">
        <f t="shared" si="9"/>
        <v>975.99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449</v>
      </c>
      <c r="C94" s="60">
        <f t="shared" si="14"/>
        <v>433</v>
      </c>
      <c r="D94" s="60">
        <f t="shared" si="14"/>
        <v>433.3</v>
      </c>
      <c r="E94" s="60">
        <f t="shared" si="14"/>
        <v>437</v>
      </c>
      <c r="F94" s="60">
        <f t="shared" si="14"/>
        <v>444.9</v>
      </c>
      <c r="G94" s="60">
        <f t="shared" si="14"/>
        <v>480.5</v>
      </c>
      <c r="H94" s="60">
        <f t="shared" si="14"/>
        <v>490.1</v>
      </c>
      <c r="I94" s="60">
        <f t="shared" si="14"/>
        <v>471.8</v>
      </c>
      <c r="J94" s="60">
        <f t="shared" si="14"/>
        <v>290.8</v>
      </c>
      <c r="K94" s="60">
        <f t="shared" si="14"/>
        <v>169</v>
      </c>
      <c r="L94" s="60">
        <f t="shared" si="14"/>
        <v>117.4</v>
      </c>
      <c r="M94" s="60">
        <f t="shared" si="14"/>
        <v>146.4</v>
      </c>
      <c r="N94" s="60">
        <f t="shared" si="14"/>
        <v>484</v>
      </c>
      <c r="O94" s="60">
        <f t="shared" si="14"/>
        <v>484.70000000000005</v>
      </c>
      <c r="P94" s="60">
        <f t="shared" si="14"/>
        <v>501.59999999999997</v>
      </c>
      <c r="Q94" s="60">
        <f t="shared" si="14"/>
        <v>503.5</v>
      </c>
      <c r="R94" s="60">
        <f t="shared" si="14"/>
        <v>496.5</v>
      </c>
      <c r="S94" s="60">
        <f t="shared" si="14"/>
        <v>507.5</v>
      </c>
      <c r="T94" s="60">
        <f t="shared" si="14"/>
        <v>482.2</v>
      </c>
      <c r="U94" s="60">
        <f t="shared" si="14"/>
        <v>495.1</v>
      </c>
      <c r="V94" s="60">
        <f t="shared" si="14"/>
        <v>330</v>
      </c>
      <c r="W94" s="60">
        <f t="shared" si="14"/>
        <v>480</v>
      </c>
      <c r="X94" s="60">
        <f t="shared" si="14"/>
        <v>467</v>
      </c>
      <c r="Y94" s="60">
        <f t="shared" si="14"/>
        <v>350</v>
      </c>
      <c r="Z94" s="60">
        <f t="shared" si="14"/>
        <v>269</v>
      </c>
      <c r="AA94" s="60">
        <f t="shared" si="14"/>
        <v>188.5</v>
      </c>
      <c r="AB94" s="60">
        <f t="shared" si="14"/>
        <v>463</v>
      </c>
      <c r="AC94" s="60">
        <f t="shared" si="14"/>
        <v>469</v>
      </c>
      <c r="AD94" s="60">
        <f t="shared" si="14"/>
        <v>488</v>
      </c>
      <c r="AE94" s="60">
        <f t="shared" si="14"/>
        <v>484</v>
      </c>
      <c r="AF94" s="60">
        <f t="shared" si="14"/>
        <v>471</v>
      </c>
      <c r="AG94" s="88"/>
      <c r="AH94" s="47">
        <f t="shared" si="8"/>
        <v>507.5</v>
      </c>
      <c r="AI94" s="48">
        <f t="shared" si="9"/>
        <v>117.4</v>
      </c>
    </row>
    <row r="95" spans="1:37" x14ac:dyDescent="0.25">
      <c r="A95" s="100" t="s">
        <v>103</v>
      </c>
      <c r="B95" s="101">
        <v>50.076000000000001</v>
      </c>
      <c r="C95" s="101">
        <v>50.029000000000003</v>
      </c>
      <c r="D95" s="101">
        <v>50.029000000000003</v>
      </c>
      <c r="E95" s="101">
        <v>50.033000000000001</v>
      </c>
      <c r="F95" s="101">
        <v>50.003999999999998</v>
      </c>
      <c r="G95" s="101">
        <v>49.985999999999997</v>
      </c>
      <c r="H95" s="101">
        <v>50.04</v>
      </c>
      <c r="I95" s="101">
        <v>49.984000000000002</v>
      </c>
      <c r="J95" s="101">
        <v>49.851999999999997</v>
      </c>
      <c r="K95" s="101">
        <v>50.003100000000003</v>
      </c>
      <c r="L95" s="101">
        <v>49.962000000000003</v>
      </c>
      <c r="M95" s="101">
        <v>50.113999999999997</v>
      </c>
      <c r="N95" s="101">
        <v>50.055999999999997</v>
      </c>
      <c r="O95" s="101">
        <v>50.000999999999998</v>
      </c>
      <c r="P95" s="101">
        <v>50.030999999999999</v>
      </c>
      <c r="Q95" s="101">
        <v>50.039000000000001</v>
      </c>
      <c r="R95" s="101">
        <v>49.923999999999999</v>
      </c>
      <c r="S95" s="101">
        <v>50.014000000000003</v>
      </c>
      <c r="T95" s="101">
        <v>50.021000000000001</v>
      </c>
      <c r="U95" s="101">
        <v>49.91</v>
      </c>
      <c r="V95" s="101">
        <v>49.91</v>
      </c>
      <c r="W95" s="101">
        <v>50.024000000000001</v>
      </c>
      <c r="X95" s="101">
        <v>50.021999999999998</v>
      </c>
      <c r="Y95" s="101">
        <v>50</v>
      </c>
      <c r="Z95" s="101">
        <v>49.942</v>
      </c>
      <c r="AA95" s="101" t="s">
        <v>254</v>
      </c>
      <c r="AB95" s="101">
        <v>50.05</v>
      </c>
      <c r="AC95" s="101">
        <v>49.96</v>
      </c>
      <c r="AD95" s="101">
        <v>49.92</v>
      </c>
      <c r="AE95" s="101">
        <v>50.054000000000002</v>
      </c>
      <c r="AF95" s="101">
        <v>49.92</v>
      </c>
      <c r="AG95" s="102"/>
      <c r="AH95" s="47">
        <f t="shared" si="8"/>
        <v>50.113999999999997</v>
      </c>
      <c r="AI95" s="48">
        <f t="shared" si="9"/>
        <v>49.851999999999997</v>
      </c>
    </row>
    <row r="96" spans="1:37" x14ac:dyDescent="0.25">
      <c r="A96" s="103" t="s">
        <v>104</v>
      </c>
      <c r="B96" s="65">
        <v>128.9</v>
      </c>
      <c r="C96" s="65">
        <v>130</v>
      </c>
      <c r="D96" s="65">
        <v>130</v>
      </c>
      <c r="E96" s="65">
        <v>128.9</v>
      </c>
      <c r="F96" s="65">
        <v>129.6</v>
      </c>
      <c r="G96" s="65">
        <v>127.7</v>
      </c>
      <c r="H96" s="65">
        <v>128.80000000000001</v>
      </c>
      <c r="I96" s="65">
        <v>126</v>
      </c>
      <c r="J96" s="65">
        <v>126.8</v>
      </c>
      <c r="K96" s="65">
        <v>127.7</v>
      </c>
      <c r="L96" s="65">
        <v>124.6</v>
      </c>
      <c r="M96" s="65">
        <v>125.9</v>
      </c>
      <c r="N96" s="65">
        <v>124.9</v>
      </c>
      <c r="O96" s="65">
        <v>125.7</v>
      </c>
      <c r="P96" s="65">
        <v>125.6</v>
      </c>
      <c r="Q96" s="65">
        <v>126</v>
      </c>
      <c r="R96" s="65">
        <v>127.5</v>
      </c>
      <c r="S96" s="65">
        <v>126.2</v>
      </c>
      <c r="T96" s="65">
        <v>126.8</v>
      </c>
      <c r="U96" s="65">
        <v>127.3</v>
      </c>
      <c r="V96" s="65">
        <v>127.3</v>
      </c>
      <c r="W96" s="65">
        <v>129</v>
      </c>
      <c r="X96" s="65">
        <v>129</v>
      </c>
      <c r="Y96" s="65">
        <v>127</v>
      </c>
      <c r="Z96" s="65">
        <v>127</v>
      </c>
      <c r="AA96" s="65">
        <v>127</v>
      </c>
      <c r="AB96" s="65">
        <v>129</v>
      </c>
      <c r="AC96" s="65">
        <v>129</v>
      </c>
      <c r="AD96" s="65">
        <v>128.4</v>
      </c>
      <c r="AE96" s="65">
        <v>128.4</v>
      </c>
      <c r="AF96" s="65">
        <v>128.4</v>
      </c>
      <c r="AG96" s="104"/>
      <c r="AH96" s="47">
        <f t="shared" si="8"/>
        <v>130</v>
      </c>
      <c r="AI96" s="48">
        <f t="shared" si="9"/>
        <v>124.6</v>
      </c>
    </row>
    <row r="97" spans="1:35" x14ac:dyDescent="0.25">
      <c r="A97" s="103" t="s">
        <v>105</v>
      </c>
      <c r="B97" s="65">
        <v>131.69999999999999</v>
      </c>
      <c r="C97" s="65">
        <v>133</v>
      </c>
      <c r="D97" s="65">
        <v>133</v>
      </c>
      <c r="E97" s="65">
        <v>132.19999999999999</v>
      </c>
      <c r="F97" s="65">
        <v>132.6</v>
      </c>
      <c r="G97" s="65">
        <v>130.69999999999999</v>
      </c>
      <c r="H97" s="65">
        <v>131.19999999999999</v>
      </c>
      <c r="I97" s="65">
        <v>128.9</v>
      </c>
      <c r="J97" s="65">
        <v>129.80000000000001</v>
      </c>
      <c r="K97" s="65">
        <v>130.6</v>
      </c>
      <c r="L97" s="65">
        <v>127.7</v>
      </c>
      <c r="M97" s="65">
        <v>128.80000000000001</v>
      </c>
      <c r="N97" s="65">
        <v>128</v>
      </c>
      <c r="O97" s="65">
        <v>128.1</v>
      </c>
      <c r="P97" s="65">
        <v>128.1</v>
      </c>
      <c r="Q97" s="65">
        <v>129</v>
      </c>
      <c r="R97" s="65">
        <v>129.9</v>
      </c>
      <c r="S97" s="65">
        <v>128.80000000000001</v>
      </c>
      <c r="T97" s="65">
        <v>129.30000000000001</v>
      </c>
      <c r="U97" s="65">
        <v>129.9</v>
      </c>
      <c r="V97" s="65">
        <v>129.9</v>
      </c>
      <c r="W97" s="65">
        <v>131</v>
      </c>
      <c r="X97" s="65">
        <v>131</v>
      </c>
      <c r="Y97" s="65">
        <v>129.9</v>
      </c>
      <c r="Z97" s="65">
        <v>129.9</v>
      </c>
      <c r="AA97" s="65">
        <v>129.9</v>
      </c>
      <c r="AB97" s="65">
        <v>131.5</v>
      </c>
      <c r="AC97" s="65">
        <v>131.5</v>
      </c>
      <c r="AD97" s="65">
        <v>131</v>
      </c>
      <c r="AE97" s="65">
        <v>131</v>
      </c>
      <c r="AF97" s="65">
        <v>131</v>
      </c>
      <c r="AG97" s="104"/>
      <c r="AH97" s="47">
        <f t="shared" si="8"/>
        <v>133</v>
      </c>
      <c r="AI97" s="48">
        <f t="shared" si="9"/>
        <v>127.7</v>
      </c>
    </row>
    <row r="98" spans="1:35" x14ac:dyDescent="0.25">
      <c r="A98" s="103" t="s">
        <v>106</v>
      </c>
      <c r="B98" s="65">
        <v>127.4</v>
      </c>
      <c r="C98" s="65">
        <v>128</v>
      </c>
      <c r="D98" s="65">
        <v>128</v>
      </c>
      <c r="E98" s="65">
        <v>128.80000000000001</v>
      </c>
      <c r="F98" s="65">
        <v>132.30000000000001</v>
      </c>
      <c r="G98" s="65">
        <v>127.1</v>
      </c>
      <c r="H98" s="65">
        <v>127.2</v>
      </c>
      <c r="I98" s="65">
        <v>126.8</v>
      </c>
      <c r="J98" s="65">
        <v>126.8</v>
      </c>
      <c r="K98" s="65">
        <v>129.4</v>
      </c>
      <c r="L98" s="65">
        <v>123.2</v>
      </c>
      <c r="M98" s="65">
        <v>128.5</v>
      </c>
      <c r="N98" s="65">
        <v>126.6</v>
      </c>
      <c r="O98" s="65">
        <v>129</v>
      </c>
      <c r="P98" s="65">
        <v>127.3</v>
      </c>
      <c r="Q98" s="65">
        <v>128</v>
      </c>
      <c r="R98" s="65">
        <v>129.4</v>
      </c>
      <c r="S98" s="65">
        <v>127.1</v>
      </c>
      <c r="T98" s="65">
        <v>127.9</v>
      </c>
      <c r="U98" s="65">
        <v>130.30000000000001</v>
      </c>
      <c r="V98" s="65">
        <v>130.30000000000001</v>
      </c>
      <c r="W98" s="65">
        <v>132</v>
      </c>
      <c r="X98" s="65">
        <v>132</v>
      </c>
      <c r="Y98" s="65">
        <v>126.6</v>
      </c>
      <c r="Z98" s="65">
        <v>126.6</v>
      </c>
      <c r="AA98" s="65">
        <v>126.6</v>
      </c>
      <c r="AB98" s="65">
        <v>132</v>
      </c>
      <c r="AC98" s="65">
        <v>132</v>
      </c>
      <c r="AD98" s="65">
        <v>130</v>
      </c>
      <c r="AE98" s="65">
        <v>130</v>
      </c>
      <c r="AF98" s="65">
        <v>130</v>
      </c>
      <c r="AG98" s="104"/>
      <c r="AH98" s="47">
        <f t="shared" si="8"/>
        <v>132.30000000000001</v>
      </c>
      <c r="AI98" s="48">
        <f t="shared" si="9"/>
        <v>123.2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129.30000000000001</v>
      </c>
      <c r="C100" s="106">
        <v>132.5</v>
      </c>
      <c r="D100" s="106">
        <v>132.5</v>
      </c>
      <c r="E100" s="106">
        <v>128.69999999999999</v>
      </c>
      <c r="F100" s="106">
        <v>131.6</v>
      </c>
      <c r="G100" s="106">
        <v>131.5</v>
      </c>
      <c r="H100" s="106">
        <v>133</v>
      </c>
      <c r="I100" s="106">
        <v>128.19999999999999</v>
      </c>
      <c r="J100" s="106">
        <v>134.4</v>
      </c>
      <c r="K100" s="106">
        <v>135.5</v>
      </c>
      <c r="L100" s="106">
        <v>132.80000000000001</v>
      </c>
      <c r="M100" s="106">
        <v>134.19999999999999</v>
      </c>
      <c r="N100" s="106">
        <v>130.69999999999999</v>
      </c>
      <c r="O100" s="106">
        <v>131</v>
      </c>
      <c r="P100" s="106">
        <v>132.69999999999999</v>
      </c>
      <c r="Q100" s="106">
        <v>133</v>
      </c>
      <c r="R100" s="106">
        <v>132.4</v>
      </c>
      <c r="S100" s="106">
        <v>130.6</v>
      </c>
      <c r="T100" s="106">
        <v>132</v>
      </c>
      <c r="U100" s="106">
        <v>134.4</v>
      </c>
      <c r="V100" s="106">
        <v>134.4</v>
      </c>
      <c r="W100" s="106">
        <v>136</v>
      </c>
      <c r="X100" s="106">
        <v>136</v>
      </c>
      <c r="Y100" s="106">
        <v>134</v>
      </c>
      <c r="Z100" s="106">
        <v>134</v>
      </c>
      <c r="AA100" s="106">
        <v>134</v>
      </c>
      <c r="AB100" s="106">
        <v>135</v>
      </c>
      <c r="AC100" s="106">
        <v>135</v>
      </c>
      <c r="AD100" s="106">
        <v>134</v>
      </c>
      <c r="AE100" s="106">
        <v>134</v>
      </c>
      <c r="AF100" s="106">
        <v>134</v>
      </c>
      <c r="AG100" s="107"/>
      <c r="AH100" s="47">
        <f t="shared" si="8"/>
        <v>136</v>
      </c>
      <c r="AI100" s="48">
        <f t="shared" si="9"/>
        <v>128.19999999999999</v>
      </c>
    </row>
    <row r="101" spans="1:35" x14ac:dyDescent="0.25">
      <c r="A101" s="103" t="s">
        <v>109</v>
      </c>
      <c r="B101" s="65">
        <v>131.5</v>
      </c>
      <c r="C101" s="65">
        <v>134.30000000000001</v>
      </c>
      <c r="D101" s="65">
        <v>134.30000000000001</v>
      </c>
      <c r="E101" s="65">
        <v>131.4</v>
      </c>
      <c r="F101" s="65">
        <v>134</v>
      </c>
      <c r="G101" s="65">
        <v>131.6</v>
      </c>
      <c r="H101" s="65">
        <v>131.4</v>
      </c>
      <c r="I101" s="65">
        <v>125.3</v>
      </c>
      <c r="J101" s="65">
        <v>129.69999999999999</v>
      </c>
      <c r="K101" s="65">
        <v>132.5</v>
      </c>
      <c r="L101" s="65">
        <v>130</v>
      </c>
      <c r="M101" s="65">
        <v>131.80000000000001</v>
      </c>
      <c r="N101" s="65">
        <v>126.3</v>
      </c>
      <c r="O101" s="65">
        <v>125.8</v>
      </c>
      <c r="P101" s="65">
        <v>130.5</v>
      </c>
      <c r="Q101" s="65">
        <v>131.80000000000001</v>
      </c>
      <c r="R101" s="65">
        <v>132.69999999999999</v>
      </c>
      <c r="S101" s="65">
        <v>128.80000000000001</v>
      </c>
      <c r="T101" s="65">
        <v>131.6</v>
      </c>
      <c r="U101" s="65">
        <v>135</v>
      </c>
      <c r="V101" s="65">
        <v>135</v>
      </c>
      <c r="W101" s="65">
        <v>136</v>
      </c>
      <c r="X101" s="65">
        <v>136</v>
      </c>
      <c r="Y101" s="65">
        <v>132.80000000000001</v>
      </c>
      <c r="Z101" s="65">
        <v>132.80000000000001</v>
      </c>
      <c r="AA101" s="65">
        <v>132.80000000000001</v>
      </c>
      <c r="AB101" s="65">
        <v>135</v>
      </c>
      <c r="AC101" s="65">
        <v>135</v>
      </c>
      <c r="AD101" s="65">
        <v>133</v>
      </c>
      <c r="AE101" s="65">
        <v>133</v>
      </c>
      <c r="AF101" s="65">
        <v>133</v>
      </c>
      <c r="AG101" s="104"/>
      <c r="AH101" s="47">
        <f t="shared" si="8"/>
        <v>136</v>
      </c>
      <c r="AI101" s="48">
        <f t="shared" si="9"/>
        <v>125.3</v>
      </c>
    </row>
    <row r="102" spans="1:35" ht="15.75" thickBot="1" x14ac:dyDescent="0.3">
      <c r="A102" s="103" t="s">
        <v>110</v>
      </c>
      <c r="B102" s="92">
        <v>66.3</v>
      </c>
      <c r="C102" s="92">
        <v>66.900000000000006</v>
      </c>
      <c r="D102" s="92">
        <v>66.900000000000006</v>
      </c>
      <c r="E102" s="92">
        <v>66.599999999999994</v>
      </c>
      <c r="F102" s="92">
        <v>66.8</v>
      </c>
      <c r="G102" s="92">
        <v>66</v>
      </c>
      <c r="H102" s="92">
        <v>66.099999999999994</v>
      </c>
      <c r="I102" s="92">
        <v>64.8</v>
      </c>
      <c r="J102" s="92">
        <v>65.3</v>
      </c>
      <c r="K102" s="92">
        <v>65.3</v>
      </c>
      <c r="L102" s="92">
        <v>63.7</v>
      </c>
      <c r="M102" s="92">
        <v>64.099999999999994</v>
      </c>
      <c r="N102" s="92">
        <v>64.099999999999994</v>
      </c>
      <c r="O102" s="92">
        <v>64</v>
      </c>
      <c r="P102" s="92">
        <v>64.2</v>
      </c>
      <c r="Q102" s="92">
        <v>64.3</v>
      </c>
      <c r="R102" s="92">
        <v>64.5</v>
      </c>
      <c r="S102" s="92">
        <v>64.599999999999994</v>
      </c>
      <c r="T102" s="92">
        <v>64.7</v>
      </c>
      <c r="U102" s="92">
        <v>65</v>
      </c>
      <c r="V102" s="92">
        <v>65</v>
      </c>
      <c r="W102" s="92">
        <v>65.7</v>
      </c>
      <c r="X102" s="92">
        <v>65.7</v>
      </c>
      <c r="Y102" s="92">
        <v>64.900000000000006</v>
      </c>
      <c r="Z102" s="92">
        <v>64.900000000000006</v>
      </c>
      <c r="AA102" s="92">
        <v>64.900000000000006</v>
      </c>
      <c r="AB102" s="92">
        <v>65.900000000000006</v>
      </c>
      <c r="AC102" s="92">
        <v>65.900000000000006</v>
      </c>
      <c r="AD102" s="92">
        <v>65.400000000000006</v>
      </c>
      <c r="AE102" s="92">
        <v>65.400000000000006</v>
      </c>
      <c r="AF102" s="92">
        <v>65.400000000000006</v>
      </c>
      <c r="AG102" s="108"/>
      <c r="AH102" s="47">
        <f t="shared" si="8"/>
        <v>66.900000000000006</v>
      </c>
      <c r="AI102" s="48">
        <f t="shared" si="9"/>
        <v>63.7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116</v>
      </c>
      <c r="C104" s="111">
        <f t="shared" si="15"/>
        <v>111.84</v>
      </c>
      <c r="D104" s="111">
        <f t="shared" si="15"/>
        <v>115.94</v>
      </c>
      <c r="E104" s="111">
        <f t="shared" si="15"/>
        <v>106.74000000000001</v>
      </c>
      <c r="F104" s="111">
        <f t="shared" si="15"/>
        <v>112.63999999999999</v>
      </c>
      <c r="G104" s="111">
        <f t="shared" si="15"/>
        <v>143.14000000000001</v>
      </c>
      <c r="H104" s="111">
        <f t="shared" si="15"/>
        <v>172.54</v>
      </c>
      <c r="I104" s="111">
        <f t="shared" si="15"/>
        <v>193.94</v>
      </c>
      <c r="J104" s="111">
        <f t="shared" si="15"/>
        <v>235.23999999999998</v>
      </c>
      <c r="K104" s="111">
        <f t="shared" si="15"/>
        <v>291.34000000000003</v>
      </c>
      <c r="L104" s="111">
        <f t="shared" si="15"/>
        <v>325.24</v>
      </c>
      <c r="M104" s="111">
        <f t="shared" si="15"/>
        <v>326.34000000000003</v>
      </c>
      <c r="N104" s="111">
        <f t="shared" si="15"/>
        <v>297.33999999999997</v>
      </c>
      <c r="O104" s="111">
        <f t="shared" si="15"/>
        <v>299.44</v>
      </c>
      <c r="P104" s="111">
        <v>42</v>
      </c>
      <c r="Q104" s="111">
        <f t="shared" si="15"/>
        <v>251.2</v>
      </c>
      <c r="R104" s="111">
        <f t="shared" si="15"/>
        <v>240.39999999999998</v>
      </c>
      <c r="S104" s="111">
        <f t="shared" si="15"/>
        <v>232.3</v>
      </c>
      <c r="T104" s="111">
        <f t="shared" si="15"/>
        <v>216.2</v>
      </c>
      <c r="U104" s="111">
        <f t="shared" si="15"/>
        <v>266.3</v>
      </c>
      <c r="V104" s="111">
        <f t="shared" si="15"/>
        <v>266.3</v>
      </c>
      <c r="W104" s="111">
        <f t="shared" si="15"/>
        <v>287.10000000000002</v>
      </c>
      <c r="X104" s="111">
        <f t="shared" si="15"/>
        <v>297.8</v>
      </c>
      <c r="Y104" s="111">
        <f t="shared" si="15"/>
        <v>361.3</v>
      </c>
      <c r="Z104" s="111">
        <f t="shared" si="15"/>
        <v>358.6</v>
      </c>
      <c r="AA104" s="111">
        <f t="shared" si="15"/>
        <v>336.2</v>
      </c>
      <c r="AB104" s="111">
        <f t="shared" si="15"/>
        <v>287.89999999999998</v>
      </c>
      <c r="AC104" s="111">
        <f t="shared" si="15"/>
        <v>280.89999999999998</v>
      </c>
      <c r="AD104" s="111">
        <f t="shared" si="15"/>
        <v>233.3</v>
      </c>
      <c r="AE104" s="111">
        <f t="shared" si="15"/>
        <v>163.9</v>
      </c>
      <c r="AF104" s="111">
        <f t="shared" si="15"/>
        <v>140.9</v>
      </c>
      <c r="AG104" s="112"/>
      <c r="AH104" s="47">
        <f t="shared" si="8"/>
        <v>361.3</v>
      </c>
      <c r="AI104" s="48">
        <f t="shared" si="9"/>
        <v>42</v>
      </c>
    </row>
    <row r="105" spans="1:35" x14ac:dyDescent="0.25">
      <c r="A105" s="100" t="s">
        <v>113</v>
      </c>
      <c r="B105" s="113">
        <v>-34.200000000000003</v>
      </c>
      <c r="C105" s="113">
        <v>-31.5</v>
      </c>
      <c r="D105" s="113">
        <v>-31.5</v>
      </c>
      <c r="E105" s="113">
        <v>-35.299999999999997</v>
      </c>
      <c r="F105" s="113">
        <v>-32.6</v>
      </c>
      <c r="G105" s="113">
        <v>-32.1</v>
      </c>
      <c r="H105" s="113">
        <v>-20.9</v>
      </c>
      <c r="I105" s="113">
        <v>-23.2</v>
      </c>
      <c r="J105" s="113">
        <v>-5</v>
      </c>
      <c r="K105" s="113">
        <v>19.2</v>
      </c>
      <c r="L105" s="113">
        <v>22.7</v>
      </c>
      <c r="M105" s="113">
        <v>22.4</v>
      </c>
      <c r="N105" s="113">
        <v>8.9</v>
      </c>
      <c r="O105" s="113">
        <v>4.7</v>
      </c>
      <c r="P105" s="113">
        <v>8.6</v>
      </c>
      <c r="Q105" s="113">
        <v>6.7</v>
      </c>
      <c r="R105" s="113">
        <v>5.5</v>
      </c>
      <c r="S105" s="113">
        <v>-9.8000000000000007</v>
      </c>
      <c r="T105" s="113">
        <v>-19.5</v>
      </c>
      <c r="U105" s="113">
        <v>-12.6</v>
      </c>
      <c r="V105" s="113">
        <v>-12.6</v>
      </c>
      <c r="W105" s="113">
        <v>8.4</v>
      </c>
      <c r="X105" s="113">
        <v>15</v>
      </c>
      <c r="Y105" s="113">
        <v>20.9</v>
      </c>
      <c r="Z105" s="113">
        <v>23.5</v>
      </c>
      <c r="AA105" s="113">
        <v>26.3</v>
      </c>
      <c r="AB105" s="113">
        <v>21</v>
      </c>
      <c r="AC105" s="113">
        <v>13</v>
      </c>
      <c r="AD105" s="113">
        <v>8</v>
      </c>
      <c r="AE105" s="113">
        <v>-17</v>
      </c>
      <c r="AF105" s="113">
        <v>-19</v>
      </c>
      <c r="AG105" s="114">
        <v>75</v>
      </c>
      <c r="AH105" s="47">
        <f t="shared" si="8"/>
        <v>26.3</v>
      </c>
      <c r="AI105" s="48">
        <f t="shared" si="9"/>
        <v>-35.299999999999997</v>
      </c>
    </row>
    <row r="106" spans="1:35" x14ac:dyDescent="0.25">
      <c r="A106" s="103" t="s">
        <v>114</v>
      </c>
      <c r="B106" s="115">
        <v>-44.1</v>
      </c>
      <c r="C106" s="115">
        <v>-39</v>
      </c>
      <c r="D106" s="115">
        <v>-39</v>
      </c>
      <c r="E106" s="115">
        <v>-44.8</v>
      </c>
      <c r="F106" s="115">
        <v>-41</v>
      </c>
      <c r="G106" s="115">
        <v>-42.4</v>
      </c>
      <c r="H106" s="115">
        <v>-24.8</v>
      </c>
      <c r="I106" s="115">
        <v>-30.2</v>
      </c>
      <c r="J106" s="115">
        <v>-5</v>
      </c>
      <c r="K106" s="115">
        <v>22.8</v>
      </c>
      <c r="L106" s="115">
        <v>25.1</v>
      </c>
      <c r="M106" s="115">
        <v>25.3</v>
      </c>
      <c r="N106" s="115">
        <v>6.4</v>
      </c>
      <c r="O106" s="115">
        <v>1.9</v>
      </c>
      <c r="P106" s="115">
        <v>9.4</v>
      </c>
      <c r="Q106" s="115">
        <v>12.8</v>
      </c>
      <c r="R106" s="115">
        <v>9.1</v>
      </c>
      <c r="S106" s="115">
        <v>-12</v>
      </c>
      <c r="T106" s="115">
        <v>-26.5</v>
      </c>
      <c r="U106" s="115">
        <v>-15.9</v>
      </c>
      <c r="V106" s="115">
        <v>-15.9</v>
      </c>
      <c r="W106" s="115">
        <v>6.4</v>
      </c>
      <c r="X106" s="115">
        <v>16.600000000000001</v>
      </c>
      <c r="Y106" s="115">
        <v>21</v>
      </c>
      <c r="Z106" s="115">
        <v>25.2</v>
      </c>
      <c r="AA106" s="115">
        <v>31</v>
      </c>
      <c r="AB106" s="115">
        <v>21</v>
      </c>
      <c r="AC106" s="115">
        <v>13</v>
      </c>
      <c r="AD106" s="115">
        <v>7.5</v>
      </c>
      <c r="AE106" s="115">
        <v>-27</v>
      </c>
      <c r="AF106" s="115">
        <v>-25</v>
      </c>
      <c r="AG106" s="114">
        <v>240</v>
      </c>
      <c r="AH106" s="47">
        <f t="shared" si="8"/>
        <v>31</v>
      </c>
      <c r="AI106" s="48">
        <f t="shared" si="9"/>
        <v>-44.8</v>
      </c>
    </row>
    <row r="107" spans="1:35" x14ac:dyDescent="0.25">
      <c r="A107" s="103" t="s">
        <v>115</v>
      </c>
      <c r="B107" s="115">
        <v>4</v>
      </c>
      <c r="C107" s="115">
        <v>-0.8</v>
      </c>
      <c r="D107" s="115">
        <v>-0.8</v>
      </c>
      <c r="E107" s="115">
        <v>0</v>
      </c>
      <c r="F107" s="115">
        <v>0</v>
      </c>
      <c r="G107" s="115">
        <v>14</v>
      </c>
      <c r="H107" s="115">
        <v>11.4</v>
      </c>
      <c r="I107" s="115">
        <v>23</v>
      </c>
      <c r="J107" s="115">
        <v>18.8</v>
      </c>
      <c r="K107" s="115">
        <v>28.8</v>
      </c>
      <c r="L107" s="115">
        <v>39.200000000000003</v>
      </c>
      <c r="M107" s="115">
        <v>44</v>
      </c>
      <c r="N107" s="115">
        <v>50.4</v>
      </c>
      <c r="O107" s="115">
        <v>51</v>
      </c>
      <c r="P107" s="115">
        <v>32</v>
      </c>
      <c r="Q107" s="115">
        <v>16</v>
      </c>
      <c r="R107" s="115">
        <v>15.5</v>
      </c>
      <c r="S107" s="115">
        <v>12</v>
      </c>
      <c r="T107" s="115">
        <v>2.2000000000000002</v>
      </c>
      <c r="U107" s="115">
        <v>45</v>
      </c>
      <c r="V107" s="115">
        <v>45</v>
      </c>
      <c r="W107" s="115">
        <v>37.4</v>
      </c>
      <c r="X107" s="115">
        <v>31</v>
      </c>
      <c r="Y107" s="115">
        <v>59</v>
      </c>
      <c r="Z107" s="115">
        <v>61</v>
      </c>
      <c r="AA107" s="115">
        <v>43.2</v>
      </c>
      <c r="AB107" s="115">
        <v>37</v>
      </c>
      <c r="AC107" s="115">
        <v>50</v>
      </c>
      <c r="AD107" s="115">
        <v>18</v>
      </c>
      <c r="AE107" s="115">
        <v>9</v>
      </c>
      <c r="AF107" s="115">
        <v>1</v>
      </c>
      <c r="AG107" s="114">
        <v>240</v>
      </c>
      <c r="AH107" s="47">
        <f t="shared" si="8"/>
        <v>61</v>
      </c>
      <c r="AI107" s="48">
        <f t="shared" si="9"/>
        <v>-0.8</v>
      </c>
    </row>
    <row r="108" spans="1:35" x14ac:dyDescent="0.25">
      <c r="A108" s="103" t="s">
        <v>116</v>
      </c>
      <c r="B108" s="115">
        <v>0.6</v>
      </c>
      <c r="C108" s="115">
        <v>-0.7</v>
      </c>
      <c r="D108" s="115">
        <v>-0.7</v>
      </c>
      <c r="E108" s="115">
        <v>-0.6</v>
      </c>
      <c r="F108" s="115">
        <v>0</v>
      </c>
      <c r="G108" s="115">
        <v>2.7</v>
      </c>
      <c r="H108" s="115">
        <v>5.7</v>
      </c>
      <c r="I108" s="115">
        <v>7.6</v>
      </c>
      <c r="J108" s="115">
        <v>9.3000000000000007</v>
      </c>
      <c r="K108" s="115">
        <v>11.3</v>
      </c>
      <c r="L108" s="115">
        <v>18.399999999999999</v>
      </c>
      <c r="M108" s="115">
        <v>19.399999999999999</v>
      </c>
      <c r="N108" s="115">
        <v>19.2</v>
      </c>
      <c r="O108" s="115">
        <v>15.1</v>
      </c>
      <c r="P108" s="115">
        <v>12.5</v>
      </c>
      <c r="Q108" s="115">
        <v>8.6</v>
      </c>
      <c r="R108" s="115">
        <v>6.3</v>
      </c>
      <c r="S108" s="115">
        <v>27.2</v>
      </c>
      <c r="T108" s="115">
        <v>44.7</v>
      </c>
      <c r="U108" s="115">
        <v>32.5</v>
      </c>
      <c r="V108" s="115">
        <v>32.5</v>
      </c>
      <c r="W108" s="115">
        <v>33.299999999999997</v>
      </c>
      <c r="X108" s="115">
        <v>34</v>
      </c>
      <c r="Y108" s="115">
        <v>50.5</v>
      </c>
      <c r="Z108" s="115">
        <v>40</v>
      </c>
      <c r="AA108" s="115">
        <v>39.799999999999997</v>
      </c>
      <c r="AB108" s="115">
        <v>16</v>
      </c>
      <c r="AC108" s="115">
        <v>17</v>
      </c>
      <c r="AD108" s="115">
        <v>10</v>
      </c>
      <c r="AE108" s="115">
        <v>7</v>
      </c>
      <c r="AF108" s="115">
        <v>3</v>
      </c>
      <c r="AG108" s="114">
        <v>60</v>
      </c>
      <c r="AH108" s="47">
        <f t="shared" si="8"/>
        <v>50.5</v>
      </c>
      <c r="AI108" s="48">
        <f t="shared" si="9"/>
        <v>-0.7</v>
      </c>
    </row>
    <row r="109" spans="1:35" x14ac:dyDescent="0.25">
      <c r="A109" s="116" t="s">
        <v>117</v>
      </c>
      <c r="B109" s="117">
        <v>93.2</v>
      </c>
      <c r="C109" s="117">
        <v>86.4</v>
      </c>
      <c r="D109" s="117">
        <v>86.4</v>
      </c>
      <c r="E109" s="117">
        <v>85.9</v>
      </c>
      <c r="F109" s="117">
        <v>85.5</v>
      </c>
      <c r="G109" s="117">
        <v>101</v>
      </c>
      <c r="H109" s="117">
        <v>100.1</v>
      </c>
      <c r="I109" s="117">
        <v>116</v>
      </c>
      <c r="J109" s="117">
        <v>117</v>
      </c>
      <c r="K109" s="117">
        <v>109</v>
      </c>
      <c r="L109" s="117">
        <v>119.6</v>
      </c>
      <c r="M109" s="117">
        <v>111.3</v>
      </c>
      <c r="N109" s="117">
        <v>106.5</v>
      </c>
      <c r="O109" s="117">
        <v>118.8</v>
      </c>
      <c r="P109" s="117">
        <v>104.2</v>
      </c>
      <c r="Q109" s="117">
        <v>98.6</v>
      </c>
      <c r="R109" s="117">
        <v>95.7</v>
      </c>
      <c r="S109" s="117">
        <v>106.6</v>
      </c>
      <c r="T109" s="117">
        <v>107</v>
      </c>
      <c r="U109" s="117">
        <v>111</v>
      </c>
      <c r="V109" s="117">
        <v>111</v>
      </c>
      <c r="W109" s="117">
        <v>105.3</v>
      </c>
      <c r="X109" s="117">
        <v>104.9</v>
      </c>
      <c r="Y109" s="117">
        <v>114</v>
      </c>
      <c r="Z109" s="117">
        <v>113</v>
      </c>
      <c r="AA109" s="117">
        <v>100</v>
      </c>
      <c r="AB109" s="117">
        <v>97</v>
      </c>
      <c r="AC109" s="117">
        <v>92</v>
      </c>
      <c r="AD109" s="117">
        <v>93.9</v>
      </c>
      <c r="AE109" s="117">
        <v>96</v>
      </c>
      <c r="AF109" s="117">
        <v>85</v>
      </c>
      <c r="AG109" s="118">
        <v>120</v>
      </c>
      <c r="AH109" s="47">
        <f t="shared" si="8"/>
        <v>119.6</v>
      </c>
      <c r="AI109" s="48">
        <f t="shared" si="9"/>
        <v>85</v>
      </c>
    </row>
    <row r="110" spans="1:35" x14ac:dyDescent="0.25">
      <c r="A110" s="116" t="s">
        <v>118</v>
      </c>
      <c r="B110" s="117">
        <v>85</v>
      </c>
      <c r="C110" s="117">
        <v>79</v>
      </c>
      <c r="D110" s="117">
        <v>79</v>
      </c>
      <c r="E110" s="117">
        <v>80.900000000000006</v>
      </c>
      <c r="F110" s="117">
        <v>78</v>
      </c>
      <c r="G110" s="117">
        <v>90.8</v>
      </c>
      <c r="H110" s="117">
        <v>79</v>
      </c>
      <c r="I110" s="117">
        <v>101</v>
      </c>
      <c r="J110" s="117">
        <v>89</v>
      </c>
      <c r="K110" s="117">
        <v>84</v>
      </c>
      <c r="L110" s="117">
        <v>95.3</v>
      </c>
      <c r="M110" s="117">
        <v>87.6</v>
      </c>
      <c r="N110" s="117">
        <v>94.8</v>
      </c>
      <c r="O110" s="117">
        <v>95</v>
      </c>
      <c r="P110" s="117">
        <v>85.6</v>
      </c>
      <c r="Q110" s="117">
        <v>78.7</v>
      </c>
      <c r="R110" s="117">
        <v>82.9</v>
      </c>
      <c r="S110" s="117">
        <v>86.4</v>
      </c>
      <c r="T110" s="117">
        <v>85.8</v>
      </c>
      <c r="U110" s="117">
        <v>90.2</v>
      </c>
      <c r="V110" s="117">
        <v>90.2</v>
      </c>
      <c r="W110" s="117">
        <v>82.9</v>
      </c>
      <c r="X110" s="117">
        <v>81.3</v>
      </c>
      <c r="Y110" s="117">
        <v>89.9</v>
      </c>
      <c r="Z110" s="117">
        <v>91.1</v>
      </c>
      <c r="AA110" s="117">
        <v>74</v>
      </c>
      <c r="AB110" s="117">
        <v>85</v>
      </c>
      <c r="AC110" s="117">
        <v>93</v>
      </c>
      <c r="AD110" s="117">
        <v>72.599999999999994</v>
      </c>
      <c r="AE110" s="117">
        <v>85</v>
      </c>
      <c r="AF110" s="117">
        <v>75</v>
      </c>
      <c r="AG110" s="118"/>
      <c r="AH110" s="47">
        <f t="shared" si="8"/>
        <v>101</v>
      </c>
      <c r="AI110" s="48">
        <f t="shared" si="9"/>
        <v>72.599999999999994</v>
      </c>
    </row>
    <row r="111" spans="1:35" x14ac:dyDescent="0.25">
      <c r="A111" s="116" t="s">
        <v>119</v>
      </c>
      <c r="B111" s="117"/>
      <c r="C111" s="117"/>
      <c r="D111" s="117"/>
      <c r="E111" s="117">
        <v>52.5</v>
      </c>
      <c r="F111" s="117">
        <v>54.9</v>
      </c>
      <c r="G111" s="117">
        <v>56.2</v>
      </c>
      <c r="H111" s="117">
        <v>53</v>
      </c>
      <c r="I111" s="117">
        <v>53.8</v>
      </c>
      <c r="J111" s="117">
        <v>47.5</v>
      </c>
      <c r="K111" s="117">
        <v>38.9</v>
      </c>
      <c r="L111" s="117">
        <v>33.6</v>
      </c>
      <c r="M111" s="117">
        <v>25.4</v>
      </c>
      <c r="N111" s="117">
        <v>30.2</v>
      </c>
      <c r="O111" s="117">
        <v>37.1</v>
      </c>
      <c r="P111" s="117">
        <v>34.200000000000003</v>
      </c>
      <c r="Q111" s="117">
        <v>39.5</v>
      </c>
      <c r="R111" s="117">
        <v>42.8</v>
      </c>
      <c r="S111" s="117">
        <v>52.6</v>
      </c>
      <c r="T111" s="117">
        <v>53.3</v>
      </c>
      <c r="U111" s="117">
        <v>46.8</v>
      </c>
      <c r="V111" s="117">
        <v>46.8</v>
      </c>
      <c r="W111" s="117">
        <v>31.5</v>
      </c>
      <c r="X111" s="117">
        <v>33.5</v>
      </c>
      <c r="Y111" s="117">
        <v>33</v>
      </c>
      <c r="Z111" s="117">
        <v>32</v>
      </c>
      <c r="AA111" s="117">
        <v>26.2</v>
      </c>
      <c r="AB111" s="117">
        <v>22</v>
      </c>
      <c r="AC111" s="117">
        <v>25</v>
      </c>
      <c r="AD111" s="117">
        <v>28</v>
      </c>
      <c r="AE111" s="117">
        <v>55</v>
      </c>
      <c r="AF111" s="117">
        <v>55</v>
      </c>
      <c r="AG111" s="119"/>
      <c r="AH111" s="47">
        <f t="shared" si="8"/>
        <v>56.2</v>
      </c>
      <c r="AI111" s="48">
        <f t="shared" si="9"/>
        <v>22</v>
      </c>
    </row>
    <row r="112" spans="1:35" x14ac:dyDescent="0.25">
      <c r="A112" s="120" t="s">
        <v>120</v>
      </c>
      <c r="B112" s="106">
        <v>13</v>
      </c>
      <c r="C112" s="106">
        <v>13.4</v>
      </c>
      <c r="D112" s="106">
        <v>13.4</v>
      </c>
      <c r="E112" s="106" t="s">
        <v>253</v>
      </c>
      <c r="F112" s="106">
        <v>10.9</v>
      </c>
      <c r="G112" s="106">
        <v>9</v>
      </c>
      <c r="H112" s="106">
        <v>1.9</v>
      </c>
      <c r="I112" s="106">
        <v>-3.9</v>
      </c>
      <c r="J112" s="106">
        <v>-19.2</v>
      </c>
      <c r="K112" s="106">
        <v>-34.5</v>
      </c>
      <c r="L112" s="106">
        <v>-44</v>
      </c>
      <c r="M112" s="106">
        <v>-51.2</v>
      </c>
      <c r="N112" s="106">
        <v>-35.9</v>
      </c>
      <c r="O112" s="106">
        <v>-28.7</v>
      </c>
      <c r="P112" s="106">
        <v>-29.1</v>
      </c>
      <c r="Q112" s="106">
        <v>-22.9</v>
      </c>
      <c r="R112" s="106">
        <v>-18.899999999999999</v>
      </c>
      <c r="S112" s="106">
        <v>-22</v>
      </c>
      <c r="T112" s="106">
        <v>-26.9</v>
      </c>
      <c r="U112" s="106">
        <v>-32.6</v>
      </c>
      <c r="V112" s="106">
        <v>-32.6</v>
      </c>
      <c r="W112" s="106">
        <v>-51.4</v>
      </c>
      <c r="X112" s="106">
        <v>-63.8</v>
      </c>
      <c r="Y112" s="106">
        <v>-75</v>
      </c>
      <c r="Z112" s="106">
        <v>-65.5</v>
      </c>
      <c r="AA112" s="106">
        <v>-44.3</v>
      </c>
      <c r="AB112" s="106">
        <v>-27</v>
      </c>
      <c r="AC112" s="106">
        <v>-26</v>
      </c>
      <c r="AD112" s="106">
        <v>-12</v>
      </c>
      <c r="AE112" s="106">
        <v>3</v>
      </c>
      <c r="AF112" s="106">
        <v>5</v>
      </c>
      <c r="AG112" s="119"/>
      <c r="AH112" s="47">
        <f t="shared" si="8"/>
        <v>13.4</v>
      </c>
      <c r="AI112" s="48">
        <f t="shared" si="9"/>
        <v>-75</v>
      </c>
    </row>
    <row r="113" spans="1:37" ht="15.75" thickBot="1" x14ac:dyDescent="0.3">
      <c r="A113" s="120" t="s">
        <v>121</v>
      </c>
      <c r="B113" s="106">
        <v>59.7</v>
      </c>
      <c r="C113" s="106">
        <v>53.5</v>
      </c>
      <c r="D113" s="106">
        <v>53.5</v>
      </c>
      <c r="E113" s="106">
        <v>50.3</v>
      </c>
      <c r="F113" s="106">
        <v>50.6</v>
      </c>
      <c r="G113" s="106">
        <v>58.8</v>
      </c>
      <c r="H113" s="106">
        <v>62</v>
      </c>
      <c r="I113" s="106">
        <v>62</v>
      </c>
      <c r="J113" s="106">
        <v>69</v>
      </c>
      <c r="K113" s="106">
        <v>69</v>
      </c>
      <c r="L113" s="106">
        <v>76.3</v>
      </c>
      <c r="M113" s="106">
        <v>45.6</v>
      </c>
      <c r="N113" s="106">
        <v>68.599999999999994</v>
      </c>
      <c r="O113" s="106">
        <v>66.5</v>
      </c>
      <c r="P113" s="106">
        <v>70.599999999999994</v>
      </c>
      <c r="Q113" s="106">
        <v>79.099999999999994</v>
      </c>
      <c r="R113" s="106">
        <v>79.400000000000006</v>
      </c>
      <c r="S113" s="106">
        <v>80.599999999999994</v>
      </c>
      <c r="T113" s="106">
        <v>86.4</v>
      </c>
      <c r="U113" s="106">
        <v>86.4</v>
      </c>
      <c r="V113" s="106">
        <v>86.4</v>
      </c>
      <c r="W113" s="106">
        <v>80.7</v>
      </c>
      <c r="X113" s="106">
        <v>68.849999999999994</v>
      </c>
      <c r="Y113" s="106">
        <v>85</v>
      </c>
      <c r="Z113" s="106">
        <v>81</v>
      </c>
      <c r="AA113" s="106">
        <v>70.8</v>
      </c>
      <c r="AB113" s="106">
        <v>65</v>
      </c>
      <c r="AC113" s="106">
        <v>70</v>
      </c>
      <c r="AD113" s="106">
        <v>76</v>
      </c>
      <c r="AE113" s="106">
        <v>75</v>
      </c>
      <c r="AF113" s="106">
        <v>73</v>
      </c>
      <c r="AG113" s="119"/>
      <c r="AH113" s="47">
        <f t="shared" si="8"/>
        <v>86.4</v>
      </c>
      <c r="AI113" s="48">
        <f t="shared" si="9"/>
        <v>45.6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1518.2900000000002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2079/11/11)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2079/11/11)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1018.59</v>
      </c>
      <c r="U242" s="170">
        <f t="shared" si="20"/>
        <v>987.59</v>
      </c>
      <c r="V242" s="170">
        <f t="shared" si="20"/>
        <v>975.99</v>
      </c>
      <c r="W242" s="170">
        <f t="shared" si="20"/>
        <v>979.69</v>
      </c>
      <c r="X242" s="170">
        <f t="shared" si="20"/>
        <v>988.58999999999992</v>
      </c>
      <c r="Y242" s="170">
        <f t="shared" si="20"/>
        <v>1023.39</v>
      </c>
      <c r="Z242" s="170">
        <f t="shared" si="20"/>
        <v>1120.69</v>
      </c>
      <c r="AA242" s="170">
        <f t="shared" si="20"/>
        <v>1150.69</v>
      </c>
      <c r="AB242" s="170">
        <f t="shared" si="20"/>
        <v>1274.99</v>
      </c>
      <c r="AC242" s="170">
        <f t="shared" si="20"/>
        <v>1371.0900000000001</v>
      </c>
      <c r="AD242" s="170">
        <f t="shared" si="20"/>
        <v>1518.2900000000002</v>
      </c>
      <c r="AE242" s="170">
        <f t="shared" si="20"/>
        <v>1466.0900000000001</v>
      </c>
      <c r="AF242" s="170">
        <f t="shared" si="20"/>
        <v>1337.8899999999999</v>
      </c>
      <c r="AG242" s="170">
        <f t="shared" si="20"/>
        <v>1309.8899999999999</v>
      </c>
      <c r="AH242" s="170">
        <f t="shared" si="20"/>
        <v>1223.3899999999999</v>
      </c>
      <c r="AI242" s="170">
        <f t="shared" si="20"/>
        <v>1268.3899999999999</v>
      </c>
      <c r="AJ242" s="170">
        <f t="shared" si="20"/>
        <v>1251.69</v>
      </c>
      <c r="AK242" s="170">
        <f t="shared" si="20"/>
        <v>1299.0899999999999</v>
      </c>
      <c r="AL242" s="170">
        <f t="shared" si="20"/>
        <v>1321.3899999999999</v>
      </c>
      <c r="AM242" s="170">
        <f t="shared" si="20"/>
        <v>1324.99</v>
      </c>
      <c r="AN242" s="170">
        <f t="shared" si="20"/>
        <v>1221.49</v>
      </c>
      <c r="AO242" s="170">
        <f t="shared" si="20"/>
        <v>1309.29</v>
      </c>
      <c r="AP242" s="170">
        <f t="shared" si="20"/>
        <v>1410.59</v>
      </c>
      <c r="AQ242" s="170">
        <f t="shared" si="20"/>
        <v>1609.85</v>
      </c>
      <c r="AR242" s="170">
        <f t="shared" si="20"/>
        <v>1578.19</v>
      </c>
      <c r="AS242" s="170">
        <f t="shared" si="20"/>
        <v>1516.79</v>
      </c>
      <c r="AT242" s="170">
        <f t="shared" si="20"/>
        <v>1361.79</v>
      </c>
      <c r="AU242" s="170">
        <f t="shared" si="20"/>
        <v>1336.49</v>
      </c>
      <c r="AV242" s="170">
        <f t="shared" si="20"/>
        <v>1215.49</v>
      </c>
      <c r="AW242" s="170">
        <f t="shared" si="20"/>
        <v>1124.29</v>
      </c>
      <c r="AX242" s="170">
        <f t="shared" si="20"/>
        <v>1052.49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X11:Y12 E105:AF105 E107:AF112 Y13:Y41 Z11:AF41">
    <cfRule type="expression" dxfId="8417" priority="234">
      <formula>B$9&gt;=20/24</formula>
    </cfRule>
    <cfRule type="expression" dxfId="8416" priority="235">
      <formula>AND(B$9&gt;=14/24,B$9&lt;20/24)</formula>
    </cfRule>
    <cfRule type="expression" dxfId="8415" priority="236">
      <formula>AND(B$9&gt;=8/24,B$9&lt;14/24)</formula>
    </cfRule>
    <cfRule type="expression" dxfId="8414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Y12 Y13:Y41 Z11:AF41">
    <cfRule type="expression" dxfId="8413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8412" priority="231">
      <formula>$AH11=0</formula>
    </cfRule>
  </conditionalFormatting>
  <conditionalFormatting sqref="A110">
    <cfRule type="expression" dxfId="8411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8410" priority="228">
      <formula>$AH41=0</formula>
    </cfRule>
  </conditionalFormatting>
  <conditionalFormatting sqref="A94">
    <cfRule type="expression" dxfId="8409" priority="227">
      <formula>$AH94=0</formula>
    </cfRule>
  </conditionalFormatting>
  <conditionalFormatting sqref="A16">
    <cfRule type="expression" dxfId="8408" priority="226">
      <formula>$AH16=0</formula>
    </cfRule>
  </conditionalFormatting>
  <conditionalFormatting sqref="A192:A197">
    <cfRule type="expression" dxfId="8407" priority="225">
      <formula>$AH192=0</formula>
    </cfRule>
  </conditionalFormatting>
  <conditionalFormatting sqref="A186:A191">
    <cfRule type="expression" dxfId="8406" priority="224">
      <formula>$AH186=0</formula>
    </cfRule>
  </conditionalFormatting>
  <conditionalFormatting sqref="A54">
    <cfRule type="expression" dxfId="8405" priority="223">
      <formula>$AH54=0</formula>
    </cfRule>
  </conditionalFormatting>
  <conditionalFormatting sqref="A90">
    <cfRule type="expression" dxfId="8404" priority="222">
      <formula>$AH90=0</formula>
    </cfRule>
  </conditionalFormatting>
  <conditionalFormatting sqref="E95:X95 AD95:AF95">
    <cfRule type="expression" dxfId="8403" priority="218">
      <formula>E$9&gt;=20/24</formula>
    </cfRule>
    <cfRule type="expression" dxfId="8402" priority="219">
      <formula>AND(E$9&gt;=14/24,E$9&lt;20/24)</formula>
    </cfRule>
    <cfRule type="expression" dxfId="8401" priority="220">
      <formula>AND(E$9&gt;=8/24,E$9&lt;14/24)</formula>
    </cfRule>
    <cfRule type="expression" dxfId="8400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399" priority="240">
      <formula>C$9&gt;=20/24</formula>
    </cfRule>
    <cfRule type="expression" dxfId="8398" priority="241">
      <formula>AND(C$9&gt;=14/24,C$9&lt;20/24)</formula>
    </cfRule>
    <cfRule type="expression" dxfId="8397" priority="242">
      <formula>AND(C$9&gt;=8/24,C$9&lt;14/24)</formula>
    </cfRule>
    <cfRule type="expression" dxfId="8396" priority="243">
      <formula>C$9&lt;8/24</formula>
    </cfRule>
  </conditionalFormatting>
  <conditionalFormatting sqref="A229">
    <cfRule type="expression" dxfId="8395" priority="244">
      <formula>$AH229=0</formula>
    </cfRule>
  </conditionalFormatting>
  <conditionalFormatting sqref="AG241">
    <cfRule type="expression" dxfId="8394" priority="245">
      <formula>B$9&gt;=20/24</formula>
    </cfRule>
    <cfRule type="expression" dxfId="8393" priority="246">
      <formula>AND(B$9&gt;=14/24,B$9&lt;20/24)</formula>
    </cfRule>
    <cfRule type="expression" dxfId="8392" priority="247">
      <formula>AND(B$9&gt;=8/24,B$9&lt;14/24)</formula>
    </cfRule>
    <cfRule type="expression" dxfId="8391" priority="248">
      <formula>B$9&lt;8/24</formula>
    </cfRule>
  </conditionalFormatting>
  <conditionalFormatting sqref="S8">
    <cfRule type="expression" dxfId="8390" priority="213">
      <formula>U$9&gt;=20/24</formula>
    </cfRule>
    <cfRule type="expression" dxfId="8389" priority="214">
      <formula>AND(U$9&gt;=14/24,U$9&lt;20/24)</formula>
    </cfRule>
    <cfRule type="expression" dxfId="8388" priority="215">
      <formula>AND(U$9&gt;=8/24,U$9&lt;14/24)</formula>
    </cfRule>
    <cfRule type="expression" dxfId="8387" priority="216">
      <formula>U$9&lt;8/24</formula>
    </cfRule>
  </conditionalFormatting>
  <conditionalFormatting sqref="AB8">
    <cfRule type="expression" dxfId="8386" priority="209">
      <formula>AD$9&gt;=20/24</formula>
    </cfRule>
    <cfRule type="expression" dxfId="8385" priority="210">
      <formula>AND(AD$9&gt;=14/24,AD$9&lt;20/24)</formula>
    </cfRule>
    <cfRule type="expression" dxfId="8384" priority="211">
      <formula>AND(AD$9&gt;=8/24,AD$9&lt;14/24)</formula>
    </cfRule>
    <cfRule type="expression" dxfId="8383" priority="212">
      <formula>AD$9&lt;8/24</formula>
    </cfRule>
  </conditionalFormatting>
  <conditionalFormatting sqref="AH241:AX241">
    <cfRule type="expression" dxfId="8382" priority="249">
      <formula>AG$9&gt;=20/24</formula>
    </cfRule>
    <cfRule type="expression" dxfId="8381" priority="250">
      <formula>AND(AG$9&gt;=14/24,AG$9&lt;20/24)</formula>
    </cfRule>
    <cfRule type="expression" dxfId="8380" priority="251">
      <formula>AND(AG$9&gt;=8/24,AG$9&lt;14/24)</formula>
    </cfRule>
    <cfRule type="expression" dxfId="8379" priority="252">
      <formula>AG$9&lt;8/24</formula>
    </cfRule>
  </conditionalFormatting>
  <conditionalFormatting sqref="T241">
    <cfRule type="expression" dxfId="8378" priority="253">
      <formula>AX$9&gt;=20/24</formula>
    </cfRule>
    <cfRule type="expression" dxfId="8377" priority="254">
      <formula>AND(AX$9&gt;=14/24,AX$9&lt;20/24)</formula>
    </cfRule>
    <cfRule type="expression" dxfId="8376" priority="255">
      <formula>AND(AX$9&gt;=8/24,AX$9&lt;14/24)</formula>
    </cfRule>
    <cfRule type="expression" dxfId="8375" priority="256">
      <formula>AX$9&lt;8/24</formula>
    </cfRule>
  </conditionalFormatting>
  <conditionalFormatting sqref="A111:A112">
    <cfRule type="expression" dxfId="8374" priority="208">
      <formula>$AH111=0</formula>
    </cfRule>
  </conditionalFormatting>
  <conditionalFormatting sqref="M50:Q51 M52:O52 P52:Q54 X53:AA53 Y52:AA52 F67:AF67 AB50:AF53">
    <cfRule type="expression" dxfId="8373" priority="204">
      <formula>F$9&gt;=20/24</formula>
    </cfRule>
    <cfRule type="expression" dxfId="8372" priority="205">
      <formula>AND(F$9&gt;=14/24,F$9&lt;20/24)</formula>
    </cfRule>
    <cfRule type="expression" dxfId="8371" priority="206">
      <formula>AND(F$9&gt;=8/24,F$9&lt;14/24)</formula>
    </cfRule>
    <cfRule type="expression" dxfId="8370" priority="207">
      <formula>F$9&lt;8/24</formula>
    </cfRule>
  </conditionalFormatting>
  <conditionalFormatting sqref="M49:Q49 AB49:AF49">
    <cfRule type="expression" dxfId="8369" priority="200">
      <formula>M$9&gt;=20/24</formula>
    </cfRule>
    <cfRule type="expression" dxfId="8368" priority="201">
      <formula>AND(M$9&gt;=14/24,M$9&lt;20/24)</formula>
    </cfRule>
    <cfRule type="expression" dxfId="8367" priority="202">
      <formula>AND(M$9&gt;=8/24,M$9&lt;14/24)</formula>
    </cfRule>
    <cfRule type="expression" dxfId="8366" priority="203">
      <formula>M$9&lt;8/24</formula>
    </cfRule>
  </conditionalFormatting>
  <conditionalFormatting sqref="M49:Q51 M52:O52 P52:Q54 X53:AA53 Y52:AA52 AB49:AF53">
    <cfRule type="expression" dxfId="8365" priority="199">
      <formula>M49&gt;$AG49</formula>
    </cfRule>
  </conditionalFormatting>
  <conditionalFormatting sqref="D82:AF82 E69:U69 X43:AF43 X92:AF92 F68:U68 V68:W69 M96:X102 X63:AF65 X68:AF70 AD96:AF102">
    <cfRule type="expression" dxfId="8364" priority="195">
      <formula>D$9&gt;=20/24</formula>
    </cfRule>
    <cfRule type="expression" dxfId="8363" priority="196">
      <formula>AND(D$9&gt;=14/24,D$9&lt;20/24)</formula>
    </cfRule>
    <cfRule type="expression" dxfId="8362" priority="197">
      <formula>AND(D$9&gt;=8/24,D$9&lt;14/24)</formula>
    </cfRule>
    <cfRule type="expression" dxfId="8361" priority="198">
      <formula>D$9&lt;8/24</formula>
    </cfRule>
  </conditionalFormatting>
  <conditionalFormatting sqref="X43:AF43 X63:AF65">
    <cfRule type="expression" dxfId="8360" priority="194">
      <formula>X43&gt;$AG43</formula>
    </cfRule>
  </conditionalFormatting>
  <conditionalFormatting sqref="R49:V54 W52:W54 X52 W49:AA51">
    <cfRule type="expression" dxfId="8359" priority="190">
      <formula>R$9&gt;=20/24</formula>
    </cfRule>
    <cfRule type="expression" dxfId="8358" priority="191">
      <formula>AND(R$9&gt;=14/24,R$9&lt;20/24)</formula>
    </cfRule>
    <cfRule type="expression" dxfId="8357" priority="192">
      <formula>AND(R$9&gt;=8/24,R$9&lt;14/24)</formula>
    </cfRule>
    <cfRule type="expression" dxfId="8356" priority="193">
      <formula>R$9&lt;8/24</formula>
    </cfRule>
  </conditionalFormatting>
  <conditionalFormatting sqref="R49:V54 W52:W54 X52 W49:AA51">
    <cfRule type="expression" dxfId="8355" priority="189">
      <formula>R49&gt;$AG49</formula>
    </cfRule>
  </conditionalFormatting>
  <conditionalFormatting sqref="C93:AF93 B84:AF84">
    <cfRule type="expression" dxfId="8354" priority="185">
      <formula>B$9&gt;=20/24</formula>
    </cfRule>
    <cfRule type="expression" dxfId="8353" priority="186">
      <formula>AND(B$9&gt;=14/24,B$9&lt;20/24)</formula>
    </cfRule>
    <cfRule type="expression" dxfId="8352" priority="187">
      <formula>AND(B$9&gt;=8/24,B$9&lt;14/24)</formula>
    </cfRule>
    <cfRule type="expression" dxfId="8351" priority="188">
      <formula>B$9&lt;8/24</formula>
    </cfRule>
  </conditionalFormatting>
  <conditionalFormatting sqref="T43:W43">
    <cfRule type="expression" dxfId="8350" priority="181">
      <formula>T$9&gt;=20/24</formula>
    </cfRule>
    <cfRule type="expression" dxfId="8349" priority="182">
      <formula>AND(T$9&gt;=14/24,T$9&lt;20/24)</formula>
    </cfRule>
    <cfRule type="expression" dxfId="8348" priority="183">
      <formula>AND(T$9&gt;=8/24,T$9&lt;14/24)</formula>
    </cfRule>
    <cfRule type="expression" dxfId="8347" priority="184">
      <formula>T$9&lt;8/24</formula>
    </cfRule>
  </conditionalFormatting>
  <conditionalFormatting sqref="T43:W43">
    <cfRule type="expression" dxfId="8346" priority="180">
      <formula>T43&gt;$AG43</formula>
    </cfRule>
  </conditionalFormatting>
  <conditionalFormatting sqref="F50:L51 Y42:AF42">
    <cfRule type="expression" dxfId="8345" priority="176">
      <formula>F$9&gt;=20/24</formula>
    </cfRule>
    <cfRule type="expression" dxfId="8344" priority="177">
      <formula>AND(F$9&gt;=14/24,F$9&lt;20/24)</formula>
    </cfRule>
    <cfRule type="expression" dxfId="8343" priority="178">
      <formula>AND(F$9&gt;=8/24,F$9&lt;14/24)</formula>
    </cfRule>
    <cfRule type="expression" dxfId="8342" priority="179">
      <formula>F$9&lt;8/24</formula>
    </cfRule>
  </conditionalFormatting>
  <conditionalFormatting sqref="F49:L49">
    <cfRule type="expression" dxfId="8341" priority="172">
      <formula>F$9&gt;=20/24</formula>
    </cfRule>
    <cfRule type="expression" dxfId="8340" priority="173">
      <formula>AND(F$9&gt;=14/24,F$9&lt;20/24)</formula>
    </cfRule>
    <cfRule type="expression" dxfId="8339" priority="174">
      <formula>AND(F$9&gt;=8/24,F$9&lt;14/24)</formula>
    </cfRule>
    <cfRule type="expression" dxfId="8338" priority="175">
      <formula>F$9&lt;8/24</formula>
    </cfRule>
  </conditionalFormatting>
  <conditionalFormatting sqref="F49:L51 Y42:AF42">
    <cfRule type="expression" dxfId="8337" priority="171">
      <formula>F42&gt;$AG42</formula>
    </cfRule>
  </conditionalFormatting>
  <conditionalFormatting sqref="AG66 AG83 E96:L102 R63:W65">
    <cfRule type="expression" dxfId="8336" priority="167">
      <formula>E$9&gt;=20/24</formula>
    </cfRule>
    <cfRule type="expression" dxfId="8335" priority="168">
      <formula>AND(E$9&gt;=14/24,E$9&lt;20/24)</formula>
    </cfRule>
    <cfRule type="expression" dxfId="8334" priority="169">
      <formula>AND(E$9&gt;=8/24,E$9&lt;14/24)</formula>
    </cfRule>
    <cfRule type="expression" dxfId="8333" priority="170">
      <formula>E$9&lt;8/24</formula>
    </cfRule>
  </conditionalFormatting>
  <conditionalFormatting sqref="AG44 AG62 AG66 R63:W65">
    <cfRule type="expression" dxfId="8332" priority="166">
      <formula>R44&gt;$AG44</formula>
    </cfRule>
  </conditionalFormatting>
  <conditionalFormatting sqref="X54:AF54">
    <cfRule type="expression" dxfId="8331" priority="162">
      <formula>X$9&gt;=20/24</formula>
    </cfRule>
    <cfRule type="expression" dxfId="8330" priority="163">
      <formula>AND(X$9&gt;=14/24,X$9&lt;20/24)</formula>
    </cfRule>
    <cfRule type="expression" dxfId="8329" priority="164">
      <formula>AND(X$9&gt;=8/24,X$9&lt;14/24)</formula>
    </cfRule>
    <cfRule type="expression" dxfId="8328" priority="165">
      <formula>X$9&lt;8/24</formula>
    </cfRule>
  </conditionalFormatting>
  <conditionalFormatting sqref="X54:AF54">
    <cfRule type="expression" dxfId="8327" priority="161">
      <formula>X54&gt;$AG54</formula>
    </cfRule>
  </conditionalFormatting>
  <conditionalFormatting sqref="A40">
    <cfRule type="expression" dxfId="8326" priority="160">
      <formula>$AH40=0</formula>
    </cfRule>
  </conditionalFormatting>
  <conditionalFormatting sqref="X87:AF91">
    <cfRule type="expression" dxfId="8325" priority="156">
      <formula>X$9&gt;=20/24</formula>
    </cfRule>
    <cfRule type="expression" dxfId="8324" priority="157">
      <formula>AND(X$9&gt;=14/24,X$9&lt;20/24)</formula>
    </cfRule>
    <cfRule type="expression" dxfId="8323" priority="158">
      <formula>AND(X$9&gt;=8/24,X$9&lt;14/24)</formula>
    </cfRule>
    <cfRule type="expression" dxfId="8322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H46 I45:AF47">
    <cfRule type="expression" dxfId="8321" priority="152">
      <formula>F$9&gt;=20/24</formula>
    </cfRule>
    <cfRule type="expression" dxfId="8320" priority="153">
      <formula>AND(F$9&gt;=14/24,F$9&lt;20/24)</formula>
    </cfRule>
    <cfRule type="expression" dxfId="8319" priority="154">
      <formula>AND(F$9&gt;=8/24,F$9&lt;14/24)</formula>
    </cfRule>
    <cfRule type="expression" dxfId="8318" priority="155">
      <formula>F$9&lt;8/24</formula>
    </cfRule>
  </conditionalFormatting>
  <conditionalFormatting sqref="F45:H46 I45:AF47">
    <cfRule type="expression" dxfId="8317" priority="151">
      <formula>F45&gt;$AG45</formula>
    </cfRule>
  </conditionalFormatting>
  <conditionalFormatting sqref="AG48">
    <cfRule type="expression" dxfId="8316" priority="147">
      <formula>AG$9&gt;=20/24</formula>
    </cfRule>
    <cfRule type="expression" dxfId="8315" priority="148">
      <formula>AND(AG$9&gt;=14/24,AG$9&lt;20/24)</formula>
    </cfRule>
    <cfRule type="expression" dxfId="8314" priority="149">
      <formula>AND(AG$9&gt;=8/24,AG$9&lt;14/24)</formula>
    </cfRule>
    <cfRule type="expression" dxfId="8313" priority="150">
      <formula>AG$9&lt;8/24</formula>
    </cfRule>
  </conditionalFormatting>
  <conditionalFormatting sqref="AG48">
    <cfRule type="expression" dxfId="8312" priority="146">
      <formula>AG48&gt;$AG48</formula>
    </cfRule>
  </conditionalFormatting>
  <conditionalFormatting sqref="C103:AF103">
    <cfRule type="expression" dxfId="8311" priority="142">
      <formula>C$9&gt;=20/24</formula>
    </cfRule>
    <cfRule type="expression" dxfId="8310" priority="143">
      <formula>AND(C$9&gt;=14/24,C$9&lt;20/24)</formula>
    </cfRule>
    <cfRule type="expression" dxfId="8309" priority="144">
      <formula>AND(C$9&gt;=8/24,C$9&lt;14/24)</formula>
    </cfRule>
    <cfRule type="expression" dxfId="8308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307" priority="140">
      <formula>$AH37=0</formula>
    </cfRule>
  </conditionalFormatting>
  <conditionalFormatting sqref="A86">
    <cfRule type="expression" dxfId="8306" priority="138">
      <formula>$AH86=0</formula>
    </cfRule>
  </conditionalFormatting>
  <conditionalFormatting sqref="A83">
    <cfRule type="expression" dxfId="8305" priority="139">
      <formula>$AH83=0</formula>
    </cfRule>
  </conditionalFormatting>
  <conditionalFormatting sqref="E106:AF106">
    <cfRule type="expression" dxfId="8304" priority="126">
      <formula>E$9&gt;=20/24</formula>
    </cfRule>
    <cfRule type="expression" dxfId="8303" priority="127">
      <formula>AND(E$9&gt;=14/24,E$9&lt;20/24)</formula>
    </cfRule>
    <cfRule type="expression" dxfId="8302" priority="128">
      <formula>AND(E$9&gt;=8/24,E$9&lt;14/24)</formula>
    </cfRule>
    <cfRule type="expression" dxfId="8301" priority="129">
      <formula>E$9&lt;8/24</formula>
    </cfRule>
  </conditionalFormatting>
  <conditionalFormatting sqref="A106">
    <cfRule type="expression" dxfId="8300" priority="125">
      <formula>$AH106=0</formula>
    </cfRule>
  </conditionalFormatting>
  <conditionalFormatting sqref="A19">
    <cfRule type="expression" dxfId="8299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298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8297" priority="117">
      <formula>Y$9&gt;=20/24</formula>
    </cfRule>
    <cfRule type="expression" dxfId="8296" priority="118">
      <formula>AND(Y$9&gt;=14/24,Y$9&lt;20/24)</formula>
    </cfRule>
    <cfRule type="expression" dxfId="8295" priority="119">
      <formula>AND(Y$9&gt;=8/24,Y$9&lt;14/24)</formula>
    </cfRule>
    <cfRule type="expression" dxfId="8294" priority="120">
      <formula>Y$9&lt;8/24</formula>
    </cfRule>
  </conditionalFormatting>
  <conditionalFormatting sqref="Y96:AC102">
    <cfRule type="expression" dxfId="8293" priority="113">
      <formula>Y$9&gt;=20/24</formula>
    </cfRule>
    <cfRule type="expression" dxfId="8292" priority="114">
      <formula>AND(Y$9&gt;=14/24,Y$9&lt;20/24)</formula>
    </cfRule>
    <cfRule type="expression" dxfId="8291" priority="115">
      <formula>AND(Y$9&gt;=8/24,Y$9&lt;14/24)</formula>
    </cfRule>
    <cfRule type="expression" dxfId="8290" priority="116">
      <formula>Y$9&lt;8/24</formula>
    </cfRule>
  </conditionalFormatting>
  <conditionalFormatting sqref="B105:D105 B107:D112 B15:X40">
    <cfRule type="expression" dxfId="8289" priority="109">
      <formula>B$9&gt;=20/24</formula>
    </cfRule>
    <cfRule type="expression" dxfId="8288" priority="110">
      <formula>AND(B$9&gt;=14/24,B$9&lt;20/24)</formula>
    </cfRule>
    <cfRule type="expression" dxfId="8287" priority="111">
      <formula>AND(B$9&gt;=8/24,B$9&lt;14/24)</formula>
    </cfRule>
    <cfRule type="expression" dxfId="8286" priority="112">
      <formula>B$9&lt;8/24</formula>
    </cfRule>
  </conditionalFormatting>
  <conditionalFormatting sqref="B43:S43">
    <cfRule type="expression" dxfId="8285" priority="105">
      <formula>B$9&gt;=20/24</formula>
    </cfRule>
    <cfRule type="expression" dxfId="8284" priority="106">
      <formula>AND(B$9&gt;=14/24,B$9&lt;20/24)</formula>
    </cfRule>
    <cfRule type="expression" dxfId="8283" priority="107">
      <formula>AND(B$9&gt;=8/24,B$9&lt;14/24)</formula>
    </cfRule>
    <cfRule type="expression" dxfId="8282" priority="108">
      <formula>B$9&lt;8/24</formula>
    </cfRule>
  </conditionalFormatting>
  <conditionalFormatting sqref="B43:S43 B15:X40">
    <cfRule type="expression" dxfId="8281" priority="104">
      <formula>B15&gt;$AG15</formula>
    </cfRule>
  </conditionalFormatting>
  <conditionalFormatting sqref="B95:D95">
    <cfRule type="expression" dxfId="8280" priority="100">
      <formula>B$9&gt;=20/24</formula>
    </cfRule>
    <cfRule type="expression" dxfId="8279" priority="101">
      <formula>AND(B$9&gt;=14/24,B$9&lt;20/24)</formula>
    </cfRule>
    <cfRule type="expression" dxfId="8278" priority="102">
      <formula>AND(B$9&gt;=8/24,B$9&lt;14/24)</formula>
    </cfRule>
    <cfRule type="expression" dxfId="8277" priority="103">
      <formula>B$9&lt;8/24</formula>
    </cfRule>
  </conditionalFormatting>
  <conditionalFormatting sqref="B50:E51 B67:E67">
    <cfRule type="expression" dxfId="8276" priority="96">
      <formula>B$9&gt;=20/24</formula>
    </cfRule>
    <cfRule type="expression" dxfId="8275" priority="97">
      <formula>AND(B$9&gt;=14/24,B$9&lt;20/24)</formula>
    </cfRule>
    <cfRule type="expression" dxfId="8274" priority="98">
      <formula>AND(B$9&gt;=8/24,B$9&lt;14/24)</formula>
    </cfRule>
    <cfRule type="expression" dxfId="8273" priority="99">
      <formula>B$9&lt;8/24</formula>
    </cfRule>
  </conditionalFormatting>
  <conditionalFormatting sqref="B49:E49">
    <cfRule type="expression" dxfId="8272" priority="92">
      <formula>B$9&gt;=20/24</formula>
    </cfRule>
    <cfRule type="expression" dxfId="8271" priority="93">
      <formula>AND(B$9&gt;=14/24,B$9&lt;20/24)</formula>
    </cfRule>
    <cfRule type="expression" dxfId="8270" priority="94">
      <formula>AND(B$9&gt;=8/24,B$9&lt;14/24)</formula>
    </cfRule>
    <cfRule type="expression" dxfId="8269" priority="95">
      <formula>B$9&lt;8/24</formula>
    </cfRule>
  </conditionalFormatting>
  <conditionalFormatting sqref="B49:E51">
    <cfRule type="expression" dxfId="8268" priority="91">
      <formula>B49&gt;$AG49</formula>
    </cfRule>
  </conditionalFormatting>
  <conditionalFormatting sqref="B82:C82 B92:W92 B79:AF81 B68:E68 B69:D72 B96:D102 B63:Q65 E70:W72 X71:AF72">
    <cfRule type="expression" dxfId="8267" priority="87">
      <formula>B$9&gt;=20/24</formula>
    </cfRule>
    <cfRule type="expression" dxfId="8266" priority="88">
      <formula>AND(B$9&gt;=14/24,B$9&lt;20/24)</formula>
    </cfRule>
    <cfRule type="expression" dxfId="8265" priority="89">
      <formula>AND(B$9&gt;=8/24,B$9&lt;14/24)</formula>
    </cfRule>
    <cfRule type="expression" dxfId="8264" priority="90">
      <formula>B$9&lt;8/24</formula>
    </cfRule>
  </conditionalFormatting>
  <conditionalFormatting sqref="B52:L53 M53:O53 B63:Q65">
    <cfRule type="expression" dxfId="8263" priority="86">
      <formula>B52&gt;$AG52</formula>
    </cfRule>
  </conditionalFormatting>
  <conditionalFormatting sqref="B54:O54">
    <cfRule type="expression" dxfId="8262" priority="82">
      <formula>B$9&gt;=20/24</formula>
    </cfRule>
    <cfRule type="expression" dxfId="8261" priority="83">
      <formula>AND(B$9&gt;=14/24,B$9&lt;20/24)</formula>
    </cfRule>
    <cfRule type="expression" dxfId="8260" priority="84">
      <formula>AND(B$9&gt;=8/24,B$9&lt;14/24)</formula>
    </cfRule>
    <cfRule type="expression" dxfId="8259" priority="85">
      <formula>B$9&lt;8/24</formula>
    </cfRule>
  </conditionalFormatting>
  <conditionalFormatting sqref="B54:O54">
    <cfRule type="expression" dxfId="8258" priority="81">
      <formula>B54&gt;$AG54</formula>
    </cfRule>
  </conditionalFormatting>
  <conditionalFormatting sqref="B93">
    <cfRule type="expression" dxfId="8257" priority="77">
      <formula>B$9&gt;=20/24</formula>
    </cfRule>
    <cfRule type="expression" dxfId="8256" priority="78">
      <formula>AND(B$9&gt;=14/24,B$9&lt;20/24)</formula>
    </cfRule>
    <cfRule type="expression" dxfId="8255" priority="79">
      <formula>AND(B$9&gt;=8/24,B$9&lt;14/24)</formula>
    </cfRule>
    <cfRule type="expression" dxfId="8254" priority="80">
      <formula>B$9&lt;8/24</formula>
    </cfRule>
  </conditionalFormatting>
  <conditionalFormatting sqref="B42:X42">
    <cfRule type="expression" dxfId="8253" priority="73">
      <formula>B$9&gt;=20/24</formula>
    </cfRule>
    <cfRule type="expression" dxfId="8252" priority="74">
      <formula>AND(B$9&gt;=14/24,B$9&lt;20/24)</formula>
    </cfRule>
    <cfRule type="expression" dxfId="8251" priority="75">
      <formula>AND(B$9&gt;=8/24,B$9&lt;14/24)</formula>
    </cfRule>
    <cfRule type="expression" dxfId="8250" priority="76">
      <formula>B$9&lt;8/24</formula>
    </cfRule>
  </conditionalFormatting>
  <conditionalFormatting sqref="B42:X42">
    <cfRule type="expression" dxfId="8249" priority="72">
      <formula>B42&gt;$AG42</formula>
    </cfRule>
  </conditionalFormatting>
  <conditionalFormatting sqref="B66:AF66 B83:AF83 B85:AF85 B94:AF94">
    <cfRule type="expression" dxfId="8248" priority="68">
      <formula>B$9&gt;=20/24</formula>
    </cfRule>
    <cfRule type="expression" dxfId="8247" priority="69">
      <formula>AND(B$9&gt;=14/24,B$9&lt;20/24)</formula>
    </cfRule>
    <cfRule type="expression" dxfId="8246" priority="70">
      <formula>AND(B$9&gt;=8/24,B$9&lt;14/24)</formula>
    </cfRule>
    <cfRule type="expression" dxfId="8245" priority="71">
      <formula>B$9&lt;8/24</formula>
    </cfRule>
  </conditionalFormatting>
  <conditionalFormatting sqref="B44:AF44 B61:AF62 B66:AF66">
    <cfRule type="expression" dxfId="8244" priority="67">
      <formula>B44&gt;$AG44</formula>
    </cfRule>
  </conditionalFormatting>
  <conditionalFormatting sqref="B78:AF78">
    <cfRule type="expression" dxfId="8243" priority="63">
      <formula>B$9&gt;=20/24</formula>
    </cfRule>
    <cfRule type="expression" dxfId="8242" priority="64">
      <formula>AND(B$9&gt;=14/24,B$9&lt;20/24)</formula>
    </cfRule>
    <cfRule type="expression" dxfId="8241" priority="65">
      <formula>AND(B$9&gt;=8/24,B$9&lt;14/24)</formula>
    </cfRule>
    <cfRule type="expression" dxfId="8240" priority="66">
      <formula>B$9&lt;8/24</formula>
    </cfRule>
  </conditionalFormatting>
  <conditionalFormatting sqref="B87:W91">
    <cfRule type="expression" dxfId="8239" priority="59">
      <formula>B$9&gt;=20/24</formula>
    </cfRule>
    <cfRule type="expression" dxfId="8238" priority="60">
      <formula>AND(B$9&gt;=14/24,B$9&lt;20/24)</formula>
    </cfRule>
    <cfRule type="expression" dxfId="8237" priority="61">
      <formula>AND(B$9&gt;=8/24,B$9&lt;14/24)</formula>
    </cfRule>
    <cfRule type="expression" dxfId="8236" priority="62">
      <formula>B$9&lt;8/24</formula>
    </cfRule>
  </conditionalFormatting>
  <conditionalFormatting sqref="B45:E46 B47:H47">
    <cfRule type="expression" dxfId="8235" priority="55">
      <formula>B$9&gt;=20/24</formula>
    </cfRule>
    <cfRule type="expression" dxfId="8234" priority="56">
      <formula>AND(B$9&gt;=14/24,B$9&lt;20/24)</formula>
    </cfRule>
    <cfRule type="expression" dxfId="8233" priority="57">
      <formula>AND(B$9&gt;=8/24,B$9&lt;14/24)</formula>
    </cfRule>
    <cfRule type="expression" dxfId="8232" priority="58">
      <formula>B$9&lt;8/24</formula>
    </cfRule>
  </conditionalFormatting>
  <conditionalFormatting sqref="B45:E46 B47:H47">
    <cfRule type="expression" dxfId="8231" priority="54">
      <formula>B45&gt;$AG45</formula>
    </cfRule>
  </conditionalFormatting>
  <conditionalFormatting sqref="B48:AF48">
    <cfRule type="expression" dxfId="8230" priority="50">
      <formula>B$9&gt;=20/24</formula>
    </cfRule>
    <cfRule type="expression" dxfId="8229" priority="51">
      <formula>AND(B$9&gt;=14/24,B$9&lt;20/24)</formula>
    </cfRule>
    <cfRule type="expression" dxfId="8228" priority="52">
      <formula>AND(B$9&gt;=8/24,B$9&lt;14/24)</formula>
    </cfRule>
    <cfRule type="expression" dxfId="8227" priority="53">
      <formula>B$9&lt;8/24</formula>
    </cfRule>
  </conditionalFormatting>
  <conditionalFormatting sqref="B48:AF48">
    <cfRule type="expression" dxfId="8226" priority="49">
      <formula>B48&gt;$AG48</formula>
    </cfRule>
  </conditionalFormatting>
  <conditionalFormatting sqref="B103">
    <cfRule type="expression" dxfId="8225" priority="45">
      <formula>B$9&gt;=20/24</formula>
    </cfRule>
    <cfRule type="expression" dxfId="8224" priority="46">
      <formula>AND(B$9&gt;=14/24,B$9&lt;20/24)</formula>
    </cfRule>
    <cfRule type="expression" dxfId="8223" priority="47">
      <formula>AND(B$9&gt;=8/24,B$9&lt;14/24)</formula>
    </cfRule>
    <cfRule type="expression" dxfId="8222" priority="48">
      <formula>B$9&lt;8/24</formula>
    </cfRule>
  </conditionalFormatting>
  <conditionalFormatting sqref="B106:D106">
    <cfRule type="expression" dxfId="8221" priority="33">
      <formula>B$9&gt;=20/24</formula>
    </cfRule>
    <cfRule type="expression" dxfId="8220" priority="34">
      <formula>AND(B$9&gt;=14/24,B$9&lt;20/24)</formula>
    </cfRule>
    <cfRule type="expression" dxfId="8219" priority="35">
      <formula>AND(B$9&gt;=8/24,B$9&lt;14/24)</formula>
    </cfRule>
    <cfRule type="expression" dxfId="8218" priority="36">
      <formula>B$9&lt;8/24</formula>
    </cfRule>
  </conditionalFormatting>
  <conditionalFormatting sqref="B55:AF60">
    <cfRule type="expression" dxfId="8217" priority="29">
      <formula>B$9&gt;=20/24</formula>
    </cfRule>
    <cfRule type="expression" dxfId="8216" priority="30">
      <formula>AND(B$9&gt;=14/24,B$9&lt;20/24)</formula>
    </cfRule>
    <cfRule type="expression" dxfId="8215" priority="31">
      <formula>AND(B$9&gt;=8/24,B$9&lt;14/24)</formula>
    </cfRule>
    <cfRule type="expression" dxfId="8214" priority="32">
      <formula>B$9&lt;8/24</formula>
    </cfRule>
  </conditionalFormatting>
  <conditionalFormatting sqref="B55:AF60">
    <cfRule type="expression" dxfId="8213" priority="28">
      <formula>B55&gt;$AG55</formula>
    </cfRule>
  </conditionalFormatting>
  <conditionalFormatting sqref="B12:W14 X13:X14 B41:X41">
    <cfRule type="expression" dxfId="8212" priority="27">
      <formula>B12&gt;$AG12</formula>
    </cfRule>
  </conditionalFormatting>
  <conditionalFormatting sqref="B11:W11">
    <cfRule type="expression" dxfId="8211" priority="23">
      <formula>B$9&gt;=20/24</formula>
    </cfRule>
    <cfRule type="expression" dxfId="8210" priority="24">
      <formula>AND(B$9&gt;=14/24,B$9&lt;20/24)</formula>
    </cfRule>
    <cfRule type="expression" dxfId="8209" priority="25">
      <formula>AND(B$9&gt;=8/24,B$9&lt;14/24)</formula>
    </cfRule>
    <cfRule type="expression" dxfId="8208" priority="26">
      <formula>B$9&lt;8/24</formula>
    </cfRule>
  </conditionalFormatting>
  <conditionalFormatting sqref="B11:W11">
    <cfRule type="expression" dxfId="8207" priority="22">
      <formula>B11&gt;$AG11</formula>
    </cfRule>
  </conditionalFormatting>
  <conditionalFormatting sqref="B12:W14 X13:X14">
    <cfRule type="expression" dxfId="8206" priority="18">
      <formula>B$9&gt;=20/24</formula>
    </cfRule>
    <cfRule type="expression" dxfId="8205" priority="19">
      <formula>AND(B$9&gt;=14/24,B$9&lt;20/24)</formula>
    </cfRule>
    <cfRule type="expression" dxfId="8204" priority="20">
      <formula>AND(B$9&gt;=8/24,B$9&lt;14/24)</formula>
    </cfRule>
    <cfRule type="expression" dxfId="8203" priority="21">
      <formula>B$9&lt;8/24</formula>
    </cfRule>
  </conditionalFormatting>
  <conditionalFormatting sqref="B41:X41">
    <cfRule type="expression" dxfId="8202" priority="14">
      <formula>B$9&gt;=20/24</formula>
    </cfRule>
    <cfRule type="expression" dxfId="8201" priority="15">
      <formula>AND(B$9&gt;=14/24,B$9&lt;20/24)</formula>
    </cfRule>
    <cfRule type="expression" dxfId="8200" priority="16">
      <formula>AND(B$9&gt;=8/24,B$9&lt;14/24)</formula>
    </cfRule>
    <cfRule type="expression" dxfId="8199" priority="17">
      <formula>B$9&lt;8/24</formula>
    </cfRule>
  </conditionalFormatting>
  <conditionalFormatting sqref="B73:AF77">
    <cfRule type="expression" dxfId="8198" priority="10">
      <formula>B$9&gt;=20/24</formula>
    </cfRule>
    <cfRule type="expression" dxfId="8197" priority="11">
      <formula>AND(B$9&gt;=14/24,B$9&lt;20/24)</formula>
    </cfRule>
    <cfRule type="expression" dxfId="8196" priority="12">
      <formula>AND(B$9&gt;=8/24,B$9&lt;14/24)</formula>
    </cfRule>
    <cfRule type="expression" dxfId="8195" priority="13">
      <formula>B$9&lt;8/24</formula>
    </cfRule>
  </conditionalFormatting>
  <conditionalFormatting sqref="AL74:AN74 AL80:AN80 AN75:AN76">
    <cfRule type="expression" dxfId="8194" priority="6">
      <formula>AL$9&gt;=20/24</formula>
    </cfRule>
    <cfRule type="expression" dxfId="8193" priority="7">
      <formula>AND(AL$9&gt;=14/24,AL$9&lt;20/24)</formula>
    </cfRule>
    <cfRule type="expression" dxfId="8192" priority="8">
      <formula>AND(AL$9&gt;=8/24,AL$9&lt;14/24)</formula>
    </cfRule>
    <cfRule type="expression" dxfId="8191" priority="9">
      <formula>AL$9&lt;8/24</formula>
    </cfRule>
  </conditionalFormatting>
  <conditionalFormatting sqref="AN77:AN78">
    <cfRule type="expression" dxfId="8190" priority="2">
      <formula>AN$9&gt;=20/24</formula>
    </cfRule>
    <cfRule type="expression" dxfId="8189" priority="3">
      <formula>AND(AN$9&gt;=14/24,AN$9&lt;20/24)</formula>
    </cfRule>
    <cfRule type="expression" dxfId="8188" priority="4">
      <formula>AND(AN$9&gt;=8/24,AN$9&lt;14/24)</formula>
    </cfRule>
    <cfRule type="expression" dxfId="8187" priority="5">
      <formula>AN$9&lt;8/24</formula>
    </cfRule>
  </conditionalFormatting>
  <conditionalFormatting sqref="AL75:AM79">
    <cfRule type="expression" dxfId="8186" priority="258">
      <formula>AJ$9&gt;=20/24</formula>
    </cfRule>
    <cfRule type="expression" dxfId="8185" priority="259">
      <formula>AND(AJ$9&gt;=14/24,AJ$9&lt;20/24)</formula>
    </cfRule>
    <cfRule type="expression" dxfId="8184" priority="260">
      <formula>AND(AJ$9&gt;=8/24,AJ$9&lt;14/24)</formula>
    </cfRule>
    <cfRule type="expression" dxfId="8183" priority="261">
      <formula>AJ$9&lt;8/24</formula>
    </cfRule>
  </conditionalFormatting>
  <conditionalFormatting sqref="A113">
    <cfRule type="expression" dxfId="8182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E34E6B63-5302-41F3-8AFC-5BAF31E93B8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AE81234C-7AF2-42AC-8308-38A3079752A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0C07146A-F1E8-4AF3-9AA7-1B465F3ECBF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A3DF3CB8-441B-4ADC-9F5F-D108ABAC6EC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130" id="{3A473899-A34F-46DA-9D5E-E123AB7B498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8ACD4CD4-FB41-4BCA-8A2D-7FDC660EE24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CBDFE96D-09A4-47A9-BA0B-36140677B82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7DCE5301-FDFE-4D1A-A770-A8520B40892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41" id="{0AE0C622-C73B-43E4-973A-A71BE304025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2545FF46-DA5D-4563-B27D-CDB2A52A23B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EA73F761-3A52-4910-82ED-455408C2B2B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567EB17E-E99C-4A2A-B58F-7F956621783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E8AE11F2-1BDE-42CF-BEC2-E4596C9CC89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93118917-9049-4241-8725-F54369D5D13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F8299FA9-C399-4A41-A802-BD6022ED371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3EED6F81-081A-41F1-AF84-E04FC6C942C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4"/>
  <sheetViews>
    <sheetView zoomScaleNormal="100" workbookViewId="0">
      <pane ySplit="10" topLeftCell="A48" activePane="bottomLeft" state="frozen"/>
      <selection activeCell="Z85" sqref="Z85"/>
      <selection pane="bottomLeft" activeCell="I58" sqref="I5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2079/11/12</v>
      </c>
      <c r="C4" s="208"/>
      <c r="D4" s="208"/>
      <c r="E4" s="209" t="str">
        <f ca="1">"2079/"&amp;"11/"&amp;INT(MID(CELL("filename",G6),FIND("]",CELL("filename",G6))+1,200))</f>
        <v>2079/11/12</v>
      </c>
      <c r="F4" s="209"/>
      <c r="G4" s="209"/>
      <c r="H4" s="209" t="str">
        <f ca="1">TEXT(E4,"dddd")</f>
        <v>Sunday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463</v>
      </c>
      <c r="C5" s="30">
        <f t="shared" si="0"/>
        <v>483</v>
      </c>
      <c r="D5" s="30">
        <f t="shared" si="0"/>
        <v>478</v>
      </c>
      <c r="E5" s="30">
        <f t="shared" si="0"/>
        <v>488</v>
      </c>
      <c r="F5" s="30">
        <f t="shared" si="0"/>
        <v>488</v>
      </c>
      <c r="G5" s="30">
        <f t="shared" si="0"/>
        <v>498</v>
      </c>
      <c r="H5" s="30">
        <f t="shared" si="0"/>
        <v>358</v>
      </c>
      <c r="I5" s="30">
        <f t="shared" si="0"/>
        <v>213</v>
      </c>
      <c r="J5" s="30">
        <f t="shared" si="0"/>
        <v>163</v>
      </c>
      <c r="K5" s="30">
        <f t="shared" si="0"/>
        <v>163</v>
      </c>
      <c r="L5" s="30">
        <f t="shared" si="0"/>
        <v>161.80000000000001</v>
      </c>
      <c r="M5" s="30">
        <f t="shared" si="0"/>
        <v>310.39999999999998</v>
      </c>
      <c r="N5" s="30">
        <f t="shared" si="0"/>
        <v>498.5</v>
      </c>
      <c r="O5" s="30">
        <f t="shared" si="0"/>
        <v>483.2</v>
      </c>
      <c r="P5" s="30">
        <f t="shared" si="0"/>
        <v>493.79999999999995</v>
      </c>
      <c r="Q5" s="30">
        <f t="shared" si="0"/>
        <v>491.3</v>
      </c>
      <c r="R5" s="30">
        <f t="shared" si="0"/>
        <v>508.6</v>
      </c>
      <c r="S5" s="30">
        <f t="shared" si="0"/>
        <v>496</v>
      </c>
      <c r="T5" s="30">
        <f t="shared" si="0"/>
        <v>538</v>
      </c>
      <c r="U5" s="30">
        <f t="shared" si="0"/>
        <v>433</v>
      </c>
      <c r="V5" s="30">
        <f t="shared" si="0"/>
        <v>334</v>
      </c>
      <c r="W5" s="30">
        <f t="shared" si="0"/>
        <v>325</v>
      </c>
      <c r="X5" s="30">
        <f t="shared" si="0"/>
        <v>332</v>
      </c>
      <c r="Y5" s="30">
        <f t="shared" si="0"/>
        <v>198</v>
      </c>
      <c r="Z5" s="30">
        <f t="shared" si="0"/>
        <v>201.7</v>
      </c>
      <c r="AA5" s="30">
        <f t="shared" si="0"/>
        <v>312.10000000000002</v>
      </c>
      <c r="AB5" s="30">
        <f t="shared" si="0"/>
        <v>449.7</v>
      </c>
      <c r="AC5" s="30">
        <f t="shared" si="0"/>
        <v>454</v>
      </c>
      <c r="AD5" s="30">
        <f t="shared" si="0"/>
        <v>467.8</v>
      </c>
      <c r="AE5" s="30">
        <f t="shared" si="0"/>
        <v>478.4</v>
      </c>
      <c r="AF5" s="30">
        <f>B78</f>
        <v>492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1442MW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Load=1015</v>
      </c>
      <c r="B7" s="35">
        <f t="shared" ref="B7:AF7" si="1">B85</f>
        <v>1059.0899999999999</v>
      </c>
      <c r="C7" s="35">
        <f t="shared" si="1"/>
        <v>1030.0899999999999</v>
      </c>
      <c r="D7" s="35">
        <f t="shared" si="1"/>
        <v>1020.0899999999999</v>
      </c>
      <c r="E7" s="35">
        <f t="shared" si="1"/>
        <v>1015.0899999999999</v>
      </c>
      <c r="F7" s="35">
        <f t="shared" si="1"/>
        <v>1025.0899999999999</v>
      </c>
      <c r="G7" s="35">
        <f t="shared" si="1"/>
        <v>1038.0899999999999</v>
      </c>
      <c r="H7" s="35">
        <f t="shared" si="1"/>
        <v>1123.4899999999998</v>
      </c>
      <c r="I7" s="35">
        <f t="shared" si="1"/>
        <v>1223.69</v>
      </c>
      <c r="J7" s="35">
        <f t="shared" si="1"/>
        <v>1303.79</v>
      </c>
      <c r="K7" s="35">
        <f t="shared" si="1"/>
        <v>1302.69</v>
      </c>
      <c r="L7" s="35">
        <f t="shared" si="1"/>
        <v>1405.29</v>
      </c>
      <c r="M7" s="35">
        <f t="shared" si="1"/>
        <v>1441.89</v>
      </c>
      <c r="N7" s="35">
        <f>N85</f>
        <v>1394.3899999999999</v>
      </c>
      <c r="O7" s="35">
        <f t="shared" si="1"/>
        <v>1382.69</v>
      </c>
      <c r="P7" s="35">
        <f t="shared" si="1"/>
        <v>1243.0899999999999</v>
      </c>
      <c r="Q7" s="35">
        <f t="shared" si="1"/>
        <v>1281.6899999999998</v>
      </c>
      <c r="R7" s="35">
        <f t="shared" si="1"/>
        <v>1239.0899999999999</v>
      </c>
      <c r="S7" s="35">
        <f t="shared" si="1"/>
        <v>1197.3899999999999</v>
      </c>
      <c r="T7" s="35">
        <f t="shared" si="1"/>
        <v>1230.69</v>
      </c>
      <c r="U7" s="35">
        <f t="shared" si="1"/>
        <v>1257.4899999999998</v>
      </c>
      <c r="V7" s="35">
        <f t="shared" si="1"/>
        <v>1267.19</v>
      </c>
      <c r="W7" s="35">
        <f t="shared" si="1"/>
        <v>1340.5900000000001</v>
      </c>
      <c r="X7" s="35">
        <f t="shared" si="1"/>
        <v>1416.19</v>
      </c>
      <c r="Y7" s="35">
        <f t="shared" si="1"/>
        <v>1565.79</v>
      </c>
      <c r="Z7" s="35">
        <f t="shared" si="1"/>
        <v>1540.79</v>
      </c>
      <c r="AA7" s="35">
        <f t="shared" si="1"/>
        <v>1497.59</v>
      </c>
      <c r="AB7" s="35">
        <f t="shared" si="1"/>
        <v>1379.59</v>
      </c>
      <c r="AC7" s="35">
        <f t="shared" si="1"/>
        <v>1316.29</v>
      </c>
      <c r="AD7" s="35">
        <f t="shared" si="1"/>
        <v>1194.49</v>
      </c>
      <c r="AE7" s="35">
        <f t="shared" si="1"/>
        <v>1073.8900000000001</v>
      </c>
      <c r="AF7" s="35">
        <f t="shared" si="1"/>
        <v>1038.0900000000001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15.8</v>
      </c>
      <c r="C11" s="45">
        <v>15.8</v>
      </c>
      <c r="D11" s="45">
        <v>15.8</v>
      </c>
      <c r="E11" s="45">
        <v>15.8</v>
      </c>
      <c r="F11" s="45">
        <v>15.8</v>
      </c>
      <c r="G11" s="45">
        <v>15.8</v>
      </c>
      <c r="H11" s="45">
        <v>15.8</v>
      </c>
      <c r="I11" s="45">
        <v>15.8</v>
      </c>
      <c r="J11" s="45">
        <v>15.8</v>
      </c>
      <c r="K11" s="45">
        <v>15.8</v>
      </c>
      <c r="L11" s="45">
        <v>15.8</v>
      </c>
      <c r="M11" s="45">
        <v>15.8</v>
      </c>
      <c r="N11" s="45">
        <v>15.8</v>
      </c>
      <c r="O11" s="45">
        <v>13.2</v>
      </c>
      <c r="P11" s="45">
        <v>13.6</v>
      </c>
      <c r="Q11" s="45">
        <v>13.6</v>
      </c>
      <c r="R11" s="45">
        <v>13.6</v>
      </c>
      <c r="S11" s="45">
        <v>13.6</v>
      </c>
      <c r="T11" s="45">
        <v>13.6</v>
      </c>
      <c r="U11" s="45">
        <v>13.6</v>
      </c>
      <c r="V11" s="45">
        <v>13.6</v>
      </c>
      <c r="W11" s="45">
        <v>13.6</v>
      </c>
      <c r="X11" s="45">
        <v>13.6</v>
      </c>
      <c r="Y11" s="45">
        <v>13.6</v>
      </c>
      <c r="Z11" s="45">
        <v>13.6</v>
      </c>
      <c r="AA11" s="45">
        <v>13.6</v>
      </c>
      <c r="AB11" s="45">
        <v>13.6</v>
      </c>
      <c r="AC11" s="45">
        <v>13.6</v>
      </c>
      <c r="AD11" s="45">
        <v>13.6</v>
      </c>
      <c r="AE11" s="45">
        <v>16.7</v>
      </c>
      <c r="AF11" s="45">
        <v>13.7</v>
      </c>
      <c r="AG11" s="46">
        <v>52.4</v>
      </c>
      <c r="AH11" s="47">
        <f t="shared" ref="AH11:AH74" si="2">MAX(B11:AF11)</f>
        <v>16.7</v>
      </c>
      <c r="AI11" s="48">
        <f t="shared" ref="AI11:AI74" si="3">MIN(B11:AF11)</f>
        <v>13.2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30.4</v>
      </c>
      <c r="C12" s="45">
        <v>30.4</v>
      </c>
      <c r="D12" s="45">
        <v>30.4</v>
      </c>
      <c r="E12" s="45">
        <v>30.4</v>
      </c>
      <c r="F12" s="45">
        <v>30.4</v>
      </c>
      <c r="G12" s="45">
        <v>30.4</v>
      </c>
      <c r="H12" s="45">
        <v>30.4</v>
      </c>
      <c r="I12" s="45">
        <v>30.4</v>
      </c>
      <c r="J12" s="45">
        <v>30.4</v>
      </c>
      <c r="K12" s="45">
        <v>30.4</v>
      </c>
      <c r="L12" s="45">
        <v>30.4</v>
      </c>
      <c r="M12" s="45">
        <v>30.2</v>
      </c>
      <c r="N12" s="45">
        <v>30.2</v>
      </c>
      <c r="O12" s="45">
        <v>30.6</v>
      </c>
      <c r="P12" s="45">
        <v>30.2</v>
      </c>
      <c r="Q12" s="45">
        <v>30.2</v>
      </c>
      <c r="R12" s="45">
        <v>30.2</v>
      </c>
      <c r="S12" s="45">
        <v>30.2</v>
      </c>
      <c r="T12" s="45">
        <v>30.2</v>
      </c>
      <c r="U12" s="45">
        <v>30.2</v>
      </c>
      <c r="V12" s="45">
        <v>30.2</v>
      </c>
      <c r="W12" s="45">
        <v>30.2</v>
      </c>
      <c r="X12" s="45">
        <v>30.2</v>
      </c>
      <c r="Y12" s="45">
        <v>30.2</v>
      </c>
      <c r="Z12" s="45">
        <v>30.2</v>
      </c>
      <c r="AA12" s="45">
        <v>30.2</v>
      </c>
      <c r="AB12" s="45">
        <v>30.2</v>
      </c>
      <c r="AC12" s="45">
        <v>30.2</v>
      </c>
      <c r="AD12" s="45">
        <v>30.2</v>
      </c>
      <c r="AE12" s="45">
        <v>30.5</v>
      </c>
      <c r="AF12" s="45">
        <v>30.4</v>
      </c>
      <c r="AG12" s="50">
        <v>50</v>
      </c>
      <c r="AH12" s="47">
        <f t="shared" si="2"/>
        <v>30.6</v>
      </c>
      <c r="AI12" s="48">
        <f t="shared" si="3"/>
        <v>30.2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19.2</v>
      </c>
      <c r="N13" s="45">
        <v>19.2</v>
      </c>
      <c r="O13" s="45">
        <v>14.8</v>
      </c>
      <c r="P13" s="45">
        <v>15</v>
      </c>
      <c r="Q13" s="45">
        <v>15</v>
      </c>
      <c r="R13" s="45">
        <v>15</v>
      </c>
      <c r="S13" s="45">
        <v>15</v>
      </c>
      <c r="T13" s="45">
        <v>15</v>
      </c>
      <c r="U13" s="45">
        <v>15</v>
      </c>
      <c r="V13" s="45">
        <v>15</v>
      </c>
      <c r="W13" s="45">
        <v>15</v>
      </c>
      <c r="X13" s="45">
        <v>15</v>
      </c>
      <c r="Y13" s="45">
        <v>15</v>
      </c>
      <c r="Z13" s="45">
        <v>15</v>
      </c>
      <c r="AA13" s="45">
        <v>15</v>
      </c>
      <c r="AB13" s="45">
        <v>15</v>
      </c>
      <c r="AC13" s="45">
        <v>15</v>
      </c>
      <c r="AD13" s="45">
        <v>15</v>
      </c>
      <c r="AE13" s="45">
        <v>15.6</v>
      </c>
      <c r="AF13" s="45">
        <v>16.2</v>
      </c>
      <c r="AG13" s="50">
        <v>45</v>
      </c>
      <c r="AH13" s="47">
        <f t="shared" si="2"/>
        <v>19.2</v>
      </c>
      <c r="AI13" s="48">
        <f t="shared" si="3"/>
        <v>14.8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8.5</v>
      </c>
      <c r="I14" s="45">
        <v>8.5</v>
      </c>
      <c r="J14" s="45">
        <v>8.5</v>
      </c>
      <c r="K14" s="45">
        <v>8.5</v>
      </c>
      <c r="L14" s="45">
        <v>8.5</v>
      </c>
      <c r="M14" s="45">
        <v>8.5</v>
      </c>
      <c r="N14" s="45">
        <v>8.5</v>
      </c>
      <c r="O14" s="45">
        <v>8.5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10</v>
      </c>
      <c r="AF14" s="45">
        <v>9.5</v>
      </c>
      <c r="AG14" s="50">
        <v>42</v>
      </c>
      <c r="AH14" s="47">
        <f t="shared" si="2"/>
        <v>10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12.5</v>
      </c>
      <c r="P15" s="45">
        <v>12.5</v>
      </c>
      <c r="Q15" s="45">
        <v>12.5</v>
      </c>
      <c r="R15" s="45">
        <v>12.5</v>
      </c>
      <c r="S15" s="45">
        <v>12.5</v>
      </c>
      <c r="T15" s="45">
        <v>12.5</v>
      </c>
      <c r="U15" s="45">
        <v>12.5</v>
      </c>
      <c r="V15" s="45">
        <v>12.5</v>
      </c>
      <c r="W15" s="45">
        <v>12.5</v>
      </c>
      <c r="X15" s="45">
        <v>12.5</v>
      </c>
      <c r="Y15" s="45">
        <v>12.5</v>
      </c>
      <c r="Z15" s="45">
        <v>12.5</v>
      </c>
      <c r="AA15" s="45">
        <v>12.5</v>
      </c>
      <c r="AB15" s="45">
        <v>12.5</v>
      </c>
      <c r="AC15" s="45">
        <v>12.5</v>
      </c>
      <c r="AD15" s="45">
        <v>12.5</v>
      </c>
      <c r="AE15" s="45">
        <v>12.5</v>
      </c>
      <c r="AF15" s="45">
        <v>12.5</v>
      </c>
      <c r="AG15" s="50">
        <v>36</v>
      </c>
      <c r="AH15" s="47">
        <f t="shared" si="2"/>
        <v>13</v>
      </c>
      <c r="AI15" s="48">
        <f t="shared" si="3"/>
        <v>12.5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7.6</v>
      </c>
      <c r="C16" s="45">
        <v>7.6</v>
      </c>
      <c r="D16" s="45">
        <v>7.6</v>
      </c>
      <c r="E16" s="45">
        <v>7.6</v>
      </c>
      <c r="F16" s="45">
        <v>7.6</v>
      </c>
      <c r="G16" s="45">
        <v>7.6</v>
      </c>
      <c r="H16" s="45">
        <v>7.6</v>
      </c>
      <c r="I16" s="45">
        <v>7.6</v>
      </c>
      <c r="J16" s="45">
        <v>7.6</v>
      </c>
      <c r="K16" s="45">
        <v>7.6</v>
      </c>
      <c r="L16" s="45">
        <v>7.6</v>
      </c>
      <c r="M16" s="45">
        <v>7.6</v>
      </c>
      <c r="N16" s="45">
        <v>7.6</v>
      </c>
      <c r="O16" s="45">
        <v>7.6</v>
      </c>
      <c r="P16" s="45">
        <v>7.6</v>
      </c>
      <c r="Q16" s="45">
        <v>7.6</v>
      </c>
      <c r="R16" s="45">
        <v>7.6</v>
      </c>
      <c r="S16" s="45">
        <v>7.6</v>
      </c>
      <c r="T16" s="45">
        <v>7.6</v>
      </c>
      <c r="U16" s="45">
        <v>7.6</v>
      </c>
      <c r="V16" s="45">
        <v>7.6</v>
      </c>
      <c r="W16" s="45">
        <v>7.6</v>
      </c>
      <c r="X16" s="45">
        <v>7.6</v>
      </c>
      <c r="Y16" s="45">
        <v>7.6</v>
      </c>
      <c r="Z16" s="45">
        <v>7.6</v>
      </c>
      <c r="AA16" s="45">
        <v>7.6</v>
      </c>
      <c r="AB16" s="45">
        <v>7.6</v>
      </c>
      <c r="AC16" s="45">
        <v>7.6</v>
      </c>
      <c r="AD16" s="45">
        <v>7.6</v>
      </c>
      <c r="AE16" s="45">
        <v>7.7</v>
      </c>
      <c r="AF16" s="45">
        <v>7.8</v>
      </c>
      <c r="AG16" s="51">
        <v>30</v>
      </c>
      <c r="AH16" s="47">
        <f t="shared" si="2"/>
        <v>7.8</v>
      </c>
      <c r="AI16" s="48">
        <f t="shared" si="3"/>
        <v>7.6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8.9</v>
      </c>
      <c r="AF17" s="45">
        <v>7.9</v>
      </c>
      <c r="AG17" s="50">
        <v>24.2</v>
      </c>
      <c r="AH17" s="47">
        <f t="shared" si="2"/>
        <v>8.9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10.6</v>
      </c>
      <c r="C20" s="45">
        <v>10.6</v>
      </c>
      <c r="D20" s="45">
        <v>10.6</v>
      </c>
      <c r="E20" s="45">
        <v>10.6</v>
      </c>
      <c r="F20" s="45">
        <v>10.6</v>
      </c>
      <c r="G20" s="45">
        <v>10.6</v>
      </c>
      <c r="H20" s="45">
        <v>10.6</v>
      </c>
      <c r="I20" s="45">
        <v>10.6</v>
      </c>
      <c r="J20" s="45">
        <v>10.6</v>
      </c>
      <c r="K20" s="45">
        <v>10.6</v>
      </c>
      <c r="L20" s="45">
        <v>10.6</v>
      </c>
      <c r="M20" s="45">
        <v>10.6</v>
      </c>
      <c r="N20" s="45">
        <v>10.6</v>
      </c>
      <c r="O20" s="45">
        <v>10.6</v>
      </c>
      <c r="P20" s="45">
        <v>10.6</v>
      </c>
      <c r="Q20" s="45">
        <v>10.6</v>
      </c>
      <c r="R20" s="45">
        <v>10.6</v>
      </c>
      <c r="S20" s="45">
        <v>10.6</v>
      </c>
      <c r="T20" s="45">
        <v>10.6</v>
      </c>
      <c r="U20" s="45">
        <v>10.6</v>
      </c>
      <c r="V20" s="45">
        <v>10.6</v>
      </c>
      <c r="W20" s="45">
        <v>10.6</v>
      </c>
      <c r="X20" s="45">
        <v>10.6</v>
      </c>
      <c r="Y20" s="45">
        <v>10.6</v>
      </c>
      <c r="Z20" s="45">
        <v>10.6</v>
      </c>
      <c r="AA20" s="45">
        <v>10.6</v>
      </c>
      <c r="AB20" s="45">
        <v>10.6</v>
      </c>
      <c r="AC20" s="45">
        <v>10.6</v>
      </c>
      <c r="AD20" s="45">
        <v>10.6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10.6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6.9</v>
      </c>
      <c r="AF24" s="45">
        <v>6.7</v>
      </c>
      <c r="AG24" s="50">
        <v>23.5</v>
      </c>
      <c r="AH24" s="47">
        <f t="shared" si="2"/>
        <v>7.2</v>
      </c>
      <c r="AI24" s="48">
        <f t="shared" si="3"/>
        <v>6.7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9</v>
      </c>
      <c r="AF28" s="45">
        <v>9</v>
      </c>
      <c r="AG28" s="50">
        <v>22</v>
      </c>
      <c r="AH28" s="47">
        <f t="shared" si="2"/>
        <v>9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0">
        <v>12</v>
      </c>
      <c r="AH35" s="47">
        <f t="shared" si="2"/>
        <v>7</v>
      </c>
      <c r="AI35" s="48">
        <f t="shared" si="3"/>
        <v>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360.29999999999995</v>
      </c>
      <c r="C44" s="60">
        <f t="shared" si="4"/>
        <v>360.29999999999995</v>
      </c>
      <c r="D44" s="60">
        <f t="shared" si="4"/>
        <v>360.29999999999995</v>
      </c>
      <c r="E44" s="60">
        <f t="shared" si="4"/>
        <v>360.29999999999995</v>
      </c>
      <c r="F44" s="60">
        <f t="shared" si="4"/>
        <v>360.29999999999995</v>
      </c>
      <c r="G44" s="60">
        <f t="shared" si="4"/>
        <v>360.29999999999995</v>
      </c>
      <c r="H44" s="60">
        <f t="shared" si="4"/>
        <v>353.29999999999995</v>
      </c>
      <c r="I44" s="60">
        <f t="shared" si="4"/>
        <v>353.29999999999995</v>
      </c>
      <c r="J44" s="60">
        <f t="shared" si="4"/>
        <v>353.29999999999995</v>
      </c>
      <c r="K44" s="60">
        <f t="shared" si="4"/>
        <v>353.29999999999995</v>
      </c>
      <c r="L44" s="60">
        <f t="shared" si="4"/>
        <v>353.29999999999995</v>
      </c>
      <c r="M44" s="60">
        <f t="shared" si="4"/>
        <v>353.2</v>
      </c>
      <c r="N44" s="60">
        <f t="shared" si="4"/>
        <v>353.2</v>
      </c>
      <c r="O44" s="60">
        <f t="shared" si="4"/>
        <v>346.09999999999997</v>
      </c>
      <c r="P44" s="60">
        <f t="shared" si="4"/>
        <v>346.79999999999995</v>
      </c>
      <c r="Q44" s="60">
        <f t="shared" si="4"/>
        <v>346.79999999999995</v>
      </c>
      <c r="R44" s="60">
        <f t="shared" si="4"/>
        <v>346.79999999999995</v>
      </c>
      <c r="S44" s="60">
        <f t="shared" si="4"/>
        <v>346.79999999999995</v>
      </c>
      <c r="T44" s="60">
        <f t="shared" si="4"/>
        <v>346.79999999999995</v>
      </c>
      <c r="U44" s="60">
        <f t="shared" si="4"/>
        <v>346.79999999999995</v>
      </c>
      <c r="V44" s="60">
        <f t="shared" si="4"/>
        <v>346.79999999999995</v>
      </c>
      <c r="W44" s="60">
        <f t="shared" si="4"/>
        <v>346.79999999999995</v>
      </c>
      <c r="X44" s="60">
        <f t="shared" si="4"/>
        <v>346.79999999999995</v>
      </c>
      <c r="Y44" s="60">
        <f t="shared" si="4"/>
        <v>346.79999999999995</v>
      </c>
      <c r="Z44" s="60">
        <f t="shared" si="4"/>
        <v>346.79999999999995</v>
      </c>
      <c r="AA44" s="60">
        <f t="shared" si="4"/>
        <v>346.79999999999995</v>
      </c>
      <c r="AB44" s="60">
        <f t="shared" si="4"/>
        <v>353.79999999999995</v>
      </c>
      <c r="AC44" s="60">
        <f t="shared" si="4"/>
        <v>353.79999999999995</v>
      </c>
      <c r="AD44" s="60">
        <f t="shared" si="4"/>
        <v>353.79999999999995</v>
      </c>
      <c r="AE44" s="60">
        <f t="shared" si="4"/>
        <v>360.6</v>
      </c>
      <c r="AF44" s="60">
        <f t="shared" ref="AF44" si="5">SUM(AF11:AF42)</f>
        <v>356.5</v>
      </c>
      <c r="AG44" s="61">
        <f t="shared" si="4"/>
        <v>814.78000000000009</v>
      </c>
      <c r="AH44" s="47">
        <f t="shared" si="2"/>
        <v>360.6</v>
      </c>
      <c r="AI44" s="48">
        <f t="shared" si="3"/>
        <v>346.09999999999997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160</v>
      </c>
      <c r="J45" s="45">
        <v>325</v>
      </c>
      <c r="K45" s="45">
        <v>275</v>
      </c>
      <c r="L45" s="45">
        <v>280</v>
      </c>
      <c r="M45" s="63">
        <v>270</v>
      </c>
      <c r="N45" s="63">
        <v>250</v>
      </c>
      <c r="O45" s="45">
        <v>50</v>
      </c>
      <c r="P45" s="45">
        <v>15</v>
      </c>
      <c r="Q45" s="45">
        <v>25</v>
      </c>
      <c r="R45" s="45">
        <v>15</v>
      </c>
      <c r="S45" s="45">
        <v>15</v>
      </c>
      <c r="T45" s="45">
        <v>15</v>
      </c>
      <c r="U45" s="45">
        <v>0</v>
      </c>
      <c r="V45" s="45">
        <v>130</v>
      </c>
      <c r="W45" s="45">
        <v>160</v>
      </c>
      <c r="X45" s="45">
        <v>190</v>
      </c>
      <c r="Y45" s="45">
        <v>180</v>
      </c>
      <c r="Z45" s="45">
        <v>300</v>
      </c>
      <c r="AA45" s="45">
        <v>300</v>
      </c>
      <c r="AB45" s="45">
        <v>150</v>
      </c>
      <c r="AC45" s="45">
        <v>70</v>
      </c>
      <c r="AD45" s="45">
        <v>40</v>
      </c>
      <c r="AE45" s="45">
        <v>40</v>
      </c>
      <c r="AF45" s="45">
        <v>35</v>
      </c>
      <c r="AG45" s="51">
        <v>456</v>
      </c>
      <c r="AH45" s="47">
        <f t="shared" si="2"/>
        <v>325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25.5</v>
      </c>
      <c r="C46" s="65">
        <v>25.5</v>
      </c>
      <c r="D46" s="65">
        <v>25.5</v>
      </c>
      <c r="E46" s="65">
        <v>25.5</v>
      </c>
      <c r="F46" s="65">
        <v>25.5</v>
      </c>
      <c r="G46" s="65">
        <v>25.5</v>
      </c>
      <c r="H46" s="65">
        <v>25.5</v>
      </c>
      <c r="I46" s="65">
        <v>25.5</v>
      </c>
      <c r="J46" s="65">
        <v>25.5</v>
      </c>
      <c r="K46" s="65">
        <v>25.5</v>
      </c>
      <c r="L46" s="65">
        <v>25.5</v>
      </c>
      <c r="M46" s="65">
        <v>25.5</v>
      </c>
      <c r="N46" s="65">
        <v>25.5</v>
      </c>
      <c r="O46" s="65">
        <v>25.5</v>
      </c>
      <c r="P46" s="65">
        <v>25</v>
      </c>
      <c r="Q46" s="65">
        <v>25</v>
      </c>
      <c r="R46" s="65">
        <v>25</v>
      </c>
      <c r="S46" s="65">
        <v>25</v>
      </c>
      <c r="T46" s="65">
        <v>25</v>
      </c>
      <c r="U46" s="65">
        <v>25</v>
      </c>
      <c r="V46" s="65">
        <v>25</v>
      </c>
      <c r="W46" s="65">
        <v>25</v>
      </c>
      <c r="X46" s="65">
        <v>25</v>
      </c>
      <c r="Y46" s="65">
        <v>25</v>
      </c>
      <c r="Z46" s="65">
        <v>25</v>
      </c>
      <c r="AA46" s="65">
        <v>25</v>
      </c>
      <c r="AB46" s="65">
        <v>27</v>
      </c>
      <c r="AC46" s="65">
        <v>27</v>
      </c>
      <c r="AD46" s="65">
        <v>27</v>
      </c>
      <c r="AE46" s="65">
        <v>27</v>
      </c>
      <c r="AF46" s="65">
        <v>27</v>
      </c>
      <c r="AG46" s="54">
        <v>60</v>
      </c>
      <c r="AH46" s="47">
        <f t="shared" si="2"/>
        <v>27</v>
      </c>
      <c r="AI46" s="48">
        <f t="shared" si="3"/>
        <v>25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16</v>
      </c>
      <c r="Z47" s="67">
        <v>16</v>
      </c>
      <c r="AA47" s="67">
        <v>16</v>
      </c>
      <c r="AB47" s="67">
        <v>12</v>
      </c>
      <c r="AC47" s="67">
        <v>11.2</v>
      </c>
      <c r="AD47" s="67">
        <v>11.2</v>
      </c>
      <c r="AE47" s="67">
        <v>11</v>
      </c>
      <c r="AF47" s="67">
        <v>11</v>
      </c>
      <c r="AG47" s="68">
        <v>22.1</v>
      </c>
      <c r="AH47" s="47">
        <f t="shared" si="2"/>
        <v>16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35.700000000000003</v>
      </c>
      <c r="C48" s="60">
        <f t="shared" si="6"/>
        <v>35.700000000000003</v>
      </c>
      <c r="D48" s="60">
        <f t="shared" si="6"/>
        <v>35.700000000000003</v>
      </c>
      <c r="E48" s="60">
        <f t="shared" si="6"/>
        <v>35.700000000000003</v>
      </c>
      <c r="F48" s="60">
        <f t="shared" si="6"/>
        <v>35.700000000000003</v>
      </c>
      <c r="G48" s="60">
        <f t="shared" si="6"/>
        <v>35.700000000000003</v>
      </c>
      <c r="H48" s="60">
        <f t="shared" si="6"/>
        <v>35.700000000000003</v>
      </c>
      <c r="I48" s="60">
        <f t="shared" si="6"/>
        <v>195.7</v>
      </c>
      <c r="J48" s="60">
        <f t="shared" si="6"/>
        <v>360.7</v>
      </c>
      <c r="K48" s="60">
        <f t="shared" si="6"/>
        <v>310.7</v>
      </c>
      <c r="L48" s="60">
        <f t="shared" si="6"/>
        <v>315.7</v>
      </c>
      <c r="M48" s="60">
        <f t="shared" si="6"/>
        <v>305.7</v>
      </c>
      <c r="N48" s="60">
        <f t="shared" si="6"/>
        <v>285.7</v>
      </c>
      <c r="O48" s="60">
        <f t="shared" si="6"/>
        <v>85.7</v>
      </c>
      <c r="P48" s="60">
        <f t="shared" si="6"/>
        <v>50.2</v>
      </c>
      <c r="Q48" s="60">
        <f t="shared" si="6"/>
        <v>60.2</v>
      </c>
      <c r="R48" s="60">
        <f t="shared" si="6"/>
        <v>50.2</v>
      </c>
      <c r="S48" s="60">
        <f t="shared" si="6"/>
        <v>50.2</v>
      </c>
      <c r="T48" s="60">
        <f t="shared" si="6"/>
        <v>50.2</v>
      </c>
      <c r="U48" s="60">
        <f t="shared" si="6"/>
        <v>35.200000000000003</v>
      </c>
      <c r="V48" s="60">
        <f t="shared" si="6"/>
        <v>165.2</v>
      </c>
      <c r="W48" s="60">
        <f t="shared" si="6"/>
        <v>195.2</v>
      </c>
      <c r="X48" s="60">
        <f t="shared" si="6"/>
        <v>225.2</v>
      </c>
      <c r="Y48" s="60">
        <f t="shared" si="6"/>
        <v>221</v>
      </c>
      <c r="Z48" s="60">
        <f t="shared" si="6"/>
        <v>341</v>
      </c>
      <c r="AA48" s="60">
        <f t="shared" si="6"/>
        <v>341</v>
      </c>
      <c r="AB48" s="60">
        <f t="shared" si="6"/>
        <v>189</v>
      </c>
      <c r="AC48" s="60">
        <f t="shared" si="6"/>
        <v>108.2</v>
      </c>
      <c r="AD48" s="60">
        <f t="shared" si="6"/>
        <v>78.2</v>
      </c>
      <c r="AE48" s="60">
        <f t="shared" si="6"/>
        <v>78</v>
      </c>
      <c r="AF48" s="60">
        <f t="shared" si="6"/>
        <v>73</v>
      </c>
      <c r="AG48" s="61">
        <f t="shared" si="6"/>
        <v>538.1</v>
      </c>
      <c r="AH48" s="47">
        <f t="shared" si="2"/>
        <v>360.7</v>
      </c>
      <c r="AI48" s="48">
        <f t="shared" si="3"/>
        <v>35.200000000000003</v>
      </c>
      <c r="AK48" s="49"/>
    </row>
    <row r="49" spans="1:41" x14ac:dyDescent="0.25">
      <c r="A49" s="44" t="s">
        <v>57</v>
      </c>
      <c r="B49" s="45">
        <v>30</v>
      </c>
      <c r="C49" s="45">
        <v>30</v>
      </c>
      <c r="D49" s="45">
        <v>0</v>
      </c>
      <c r="E49" s="45">
        <v>0</v>
      </c>
      <c r="F49" s="45">
        <v>0</v>
      </c>
      <c r="G49" s="45">
        <v>0</v>
      </c>
      <c r="H49" s="45">
        <v>28.4</v>
      </c>
      <c r="I49" s="45">
        <v>42.6</v>
      </c>
      <c r="J49" s="45">
        <v>83</v>
      </c>
      <c r="K49" s="45">
        <v>91.9</v>
      </c>
      <c r="L49" s="45">
        <v>140</v>
      </c>
      <c r="M49" s="45">
        <v>141</v>
      </c>
      <c r="N49" s="45">
        <v>44.9</v>
      </c>
      <c r="O49" s="45">
        <v>44.7</v>
      </c>
      <c r="P49" s="45">
        <v>73.099999999999994</v>
      </c>
      <c r="Q49" s="45">
        <v>73.099999999999994</v>
      </c>
      <c r="R49" s="45">
        <v>91.2</v>
      </c>
      <c r="S49" s="45">
        <v>91.2</v>
      </c>
      <c r="T49" s="45">
        <v>91.2</v>
      </c>
      <c r="U49" s="45">
        <v>88</v>
      </c>
      <c r="V49" s="45">
        <v>81</v>
      </c>
      <c r="W49" s="45">
        <v>85</v>
      </c>
      <c r="X49" s="45">
        <v>90</v>
      </c>
      <c r="Y49" s="45">
        <v>141</v>
      </c>
      <c r="Z49" s="45">
        <v>130</v>
      </c>
      <c r="AA49" s="45">
        <v>82</v>
      </c>
      <c r="AB49" s="45">
        <v>61.8</v>
      </c>
      <c r="AC49" s="45">
        <v>30.3</v>
      </c>
      <c r="AD49" s="45">
        <v>30.6</v>
      </c>
      <c r="AE49" s="45">
        <v>30.1</v>
      </c>
      <c r="AF49" s="45">
        <v>0</v>
      </c>
      <c r="AG49" s="51">
        <v>144</v>
      </c>
      <c r="AH49" s="47">
        <f t="shared" si="2"/>
        <v>141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33.5</v>
      </c>
      <c r="I50" s="65">
        <v>60</v>
      </c>
      <c r="J50" s="65">
        <v>70</v>
      </c>
      <c r="K50" s="65">
        <v>70</v>
      </c>
      <c r="L50" s="65">
        <v>69.7</v>
      </c>
      <c r="M50" s="65">
        <v>69</v>
      </c>
      <c r="N50" s="65">
        <v>20.3</v>
      </c>
      <c r="O50" s="65">
        <v>23.3</v>
      </c>
      <c r="P50" s="65">
        <v>46.5</v>
      </c>
      <c r="Q50" s="65">
        <v>64.099999999999994</v>
      </c>
      <c r="R50" s="45">
        <v>34.200000000000003</v>
      </c>
      <c r="S50" s="45">
        <v>34.200000000000003</v>
      </c>
      <c r="T50" s="45">
        <v>34.200000000000003</v>
      </c>
      <c r="U50" s="45">
        <v>34.200000000000003</v>
      </c>
      <c r="V50" s="45">
        <v>34.200000000000003</v>
      </c>
      <c r="W50" s="45">
        <v>33</v>
      </c>
      <c r="X50" s="45">
        <v>22</v>
      </c>
      <c r="Y50" s="45">
        <v>60</v>
      </c>
      <c r="Z50" s="45">
        <v>60</v>
      </c>
      <c r="AA50" s="45">
        <v>60</v>
      </c>
      <c r="AB50" s="45">
        <v>28.5</v>
      </c>
      <c r="AC50" s="65">
        <v>0</v>
      </c>
      <c r="AD50" s="65">
        <v>0</v>
      </c>
      <c r="AE50" s="65">
        <v>0</v>
      </c>
      <c r="AF50" s="65">
        <v>0</v>
      </c>
      <c r="AG50" s="54">
        <v>70</v>
      </c>
      <c r="AH50" s="47">
        <f t="shared" si="2"/>
        <v>70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20.5</v>
      </c>
      <c r="I51" s="65">
        <v>60</v>
      </c>
      <c r="J51" s="65">
        <v>69.7</v>
      </c>
      <c r="K51" s="65">
        <v>69.7</v>
      </c>
      <c r="L51" s="65">
        <v>69.7</v>
      </c>
      <c r="M51" s="65">
        <v>70.099999999999994</v>
      </c>
      <c r="N51" s="65">
        <v>55.8</v>
      </c>
      <c r="O51" s="65">
        <v>40.700000000000003</v>
      </c>
      <c r="P51" s="65">
        <v>34.6</v>
      </c>
      <c r="Q51" s="65">
        <v>34.5</v>
      </c>
      <c r="R51" s="45">
        <v>22.6</v>
      </c>
      <c r="S51" s="45">
        <v>22.6</v>
      </c>
      <c r="T51" s="45">
        <v>22.6</v>
      </c>
      <c r="U51" s="45">
        <v>22.6</v>
      </c>
      <c r="V51" s="45">
        <v>34</v>
      </c>
      <c r="W51" s="45">
        <v>45</v>
      </c>
      <c r="X51" s="45">
        <v>54</v>
      </c>
      <c r="Y51" s="45">
        <v>69</v>
      </c>
      <c r="Z51" s="45">
        <v>69</v>
      </c>
      <c r="AA51" s="45">
        <v>61</v>
      </c>
      <c r="AB51" s="45">
        <v>60.9</v>
      </c>
      <c r="AC51" s="65">
        <v>36.799999999999997</v>
      </c>
      <c r="AD51" s="65">
        <v>34.6</v>
      </c>
      <c r="AE51" s="65">
        <v>32</v>
      </c>
      <c r="AF51" s="65">
        <v>32</v>
      </c>
      <c r="AG51" s="54">
        <v>69</v>
      </c>
      <c r="AH51" s="47">
        <f t="shared" si="2"/>
        <v>70.099999999999994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41.1</v>
      </c>
      <c r="C52" s="56">
        <v>41.1</v>
      </c>
      <c r="D52" s="56">
        <v>41.1</v>
      </c>
      <c r="E52" s="56">
        <v>41.1</v>
      </c>
      <c r="F52" s="56">
        <v>41.1</v>
      </c>
      <c r="G52" s="56">
        <v>41.1</v>
      </c>
      <c r="H52" s="56">
        <v>41.1</v>
      </c>
      <c r="I52" s="56">
        <v>41.1</v>
      </c>
      <c r="J52" s="56">
        <v>41.1</v>
      </c>
      <c r="K52" s="56">
        <v>41.1</v>
      </c>
      <c r="L52" s="56">
        <v>41.1</v>
      </c>
      <c r="M52" s="65">
        <v>42.1</v>
      </c>
      <c r="N52" s="65">
        <v>40</v>
      </c>
      <c r="O52" s="65">
        <v>40</v>
      </c>
      <c r="P52" s="65">
        <v>40</v>
      </c>
      <c r="Q52" s="65">
        <v>40.799999999999997</v>
      </c>
      <c r="R52" s="45">
        <v>40.799999999999997</v>
      </c>
      <c r="S52" s="45">
        <v>40.799999999999997</v>
      </c>
      <c r="T52" s="45">
        <v>40.799999999999997</v>
      </c>
      <c r="U52" s="45">
        <v>40.799999999999997</v>
      </c>
      <c r="V52" s="45">
        <v>40.799999999999997</v>
      </c>
      <c r="W52" s="65">
        <v>40.799999999999997</v>
      </c>
      <c r="X52" s="65">
        <v>40.799999999999997</v>
      </c>
      <c r="Y52" s="65">
        <v>40.6</v>
      </c>
      <c r="Z52" s="65">
        <v>40.6</v>
      </c>
      <c r="AA52" s="65">
        <v>40.6</v>
      </c>
      <c r="AB52" s="65">
        <v>40.6</v>
      </c>
      <c r="AC52" s="65">
        <v>39.799999999999997</v>
      </c>
      <c r="AD52" s="65">
        <v>38.299999999999997</v>
      </c>
      <c r="AE52" s="65">
        <v>40.299999999999997</v>
      </c>
      <c r="AF52" s="65">
        <v>44.3</v>
      </c>
      <c r="AG52" s="54">
        <v>60</v>
      </c>
      <c r="AH52" s="47">
        <f t="shared" si="2"/>
        <v>44.3</v>
      </c>
      <c r="AI52" s="48">
        <f t="shared" si="3"/>
        <v>38.299999999999997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13</v>
      </c>
      <c r="H53" s="56">
        <v>13</v>
      </c>
      <c r="I53" s="56">
        <v>13</v>
      </c>
      <c r="J53" s="56">
        <v>13</v>
      </c>
      <c r="K53" s="56">
        <v>13</v>
      </c>
      <c r="L53" s="56">
        <v>13</v>
      </c>
      <c r="M53" s="65">
        <v>23</v>
      </c>
      <c r="N53" s="65">
        <v>15</v>
      </c>
      <c r="O53" s="65">
        <v>15</v>
      </c>
      <c r="P53" s="65">
        <v>13</v>
      </c>
      <c r="Q53" s="65">
        <v>13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65">
        <v>0</v>
      </c>
      <c r="X53" s="65">
        <v>0</v>
      </c>
      <c r="Y53" s="65">
        <v>30</v>
      </c>
      <c r="Z53" s="65">
        <v>30</v>
      </c>
      <c r="AA53" s="65">
        <v>25</v>
      </c>
      <c r="AB53" s="65">
        <v>25</v>
      </c>
      <c r="AC53" s="65">
        <v>15</v>
      </c>
      <c r="AD53" s="65">
        <v>15</v>
      </c>
      <c r="AE53" s="65">
        <v>13</v>
      </c>
      <c r="AF53" s="65">
        <v>13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10.6</v>
      </c>
      <c r="P54" s="65">
        <v>13</v>
      </c>
      <c r="Q54" s="65">
        <v>13</v>
      </c>
      <c r="R54" s="65">
        <v>13</v>
      </c>
      <c r="S54" s="65">
        <v>13</v>
      </c>
      <c r="T54" s="65">
        <v>13</v>
      </c>
      <c r="U54" s="65">
        <v>13</v>
      </c>
      <c r="V54" s="65">
        <v>13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13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13</v>
      </c>
      <c r="C55" s="65">
        <v>13</v>
      </c>
      <c r="D55" s="65">
        <v>13</v>
      </c>
      <c r="E55" s="65">
        <v>13</v>
      </c>
      <c r="F55" s="65">
        <v>13</v>
      </c>
      <c r="G55" s="65">
        <v>13</v>
      </c>
      <c r="H55" s="65">
        <v>13</v>
      </c>
      <c r="I55" s="65">
        <v>13</v>
      </c>
      <c r="J55" s="65">
        <v>13</v>
      </c>
      <c r="K55" s="65">
        <v>13</v>
      </c>
      <c r="L55" s="65">
        <v>13</v>
      </c>
      <c r="M55" s="65">
        <v>13</v>
      </c>
      <c r="N55" s="65">
        <v>13</v>
      </c>
      <c r="O55" s="65">
        <v>13</v>
      </c>
      <c r="P55" s="65">
        <v>13</v>
      </c>
      <c r="Q55" s="65">
        <v>13</v>
      </c>
      <c r="R55" s="65">
        <v>13</v>
      </c>
      <c r="S55" s="65">
        <v>13</v>
      </c>
      <c r="T55" s="65">
        <v>13</v>
      </c>
      <c r="U55" s="65">
        <v>13</v>
      </c>
      <c r="V55" s="65">
        <v>13</v>
      </c>
      <c r="W55" s="65">
        <v>13</v>
      </c>
      <c r="X55" s="65">
        <v>13</v>
      </c>
      <c r="Y55" s="65">
        <v>13</v>
      </c>
      <c r="Z55" s="65">
        <v>13</v>
      </c>
      <c r="AA55" s="65">
        <v>13</v>
      </c>
      <c r="AB55" s="65">
        <v>13</v>
      </c>
      <c r="AC55" s="65">
        <v>13</v>
      </c>
      <c r="AD55" s="65">
        <v>13</v>
      </c>
      <c r="AE55" s="65">
        <v>13</v>
      </c>
      <c r="AF55" s="65">
        <v>13</v>
      </c>
      <c r="AG55" s="54">
        <v>24</v>
      </c>
      <c r="AH55" s="47">
        <f t="shared" si="2"/>
        <v>13</v>
      </c>
      <c r="AI55" s="48">
        <f t="shared" si="3"/>
        <v>13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9.6999999999999993</v>
      </c>
      <c r="C57" s="65">
        <v>9.6999999999999993</v>
      </c>
      <c r="D57" s="65">
        <v>9.6999999999999993</v>
      </c>
      <c r="E57" s="65">
        <v>9.6999999999999993</v>
      </c>
      <c r="F57" s="65">
        <v>9.6999999999999993</v>
      </c>
      <c r="G57" s="65">
        <v>9.6999999999999993</v>
      </c>
      <c r="H57" s="65">
        <v>9.6999999999999993</v>
      </c>
      <c r="I57" s="65">
        <v>9.6999999999999993</v>
      </c>
      <c r="J57" s="65">
        <v>9.6999999999999993</v>
      </c>
      <c r="K57" s="65">
        <v>9.6999999999999993</v>
      </c>
      <c r="L57" s="65">
        <v>9.6999999999999993</v>
      </c>
      <c r="M57" s="65">
        <v>9.6999999999999993</v>
      </c>
      <c r="N57" s="65">
        <v>9.6999999999999993</v>
      </c>
      <c r="O57" s="65">
        <v>9.6999999999999993</v>
      </c>
      <c r="P57" s="65">
        <v>9.6999999999999993</v>
      </c>
      <c r="Q57" s="65">
        <v>9.6999999999999993</v>
      </c>
      <c r="R57" s="65">
        <v>9.6999999999999993</v>
      </c>
      <c r="S57" s="65">
        <v>9.6999999999999993</v>
      </c>
      <c r="T57" s="65">
        <v>9.6999999999999993</v>
      </c>
      <c r="U57" s="65">
        <v>9.6999999999999993</v>
      </c>
      <c r="V57" s="65">
        <v>9.6999999999999993</v>
      </c>
      <c r="W57" s="65">
        <v>9.6999999999999993</v>
      </c>
      <c r="X57" s="65">
        <v>9.6999999999999993</v>
      </c>
      <c r="Y57" s="65">
        <v>9.6999999999999993</v>
      </c>
      <c r="Z57" s="65">
        <v>9.6999999999999993</v>
      </c>
      <c r="AA57" s="65">
        <v>9.6999999999999993</v>
      </c>
      <c r="AB57" s="65">
        <v>9.6999999999999993</v>
      </c>
      <c r="AC57" s="65">
        <v>9.3000000000000007</v>
      </c>
      <c r="AD57" s="65">
        <v>9.3000000000000007</v>
      </c>
      <c r="AE57" s="65">
        <v>9.3000000000000007</v>
      </c>
      <c r="AF57" s="65">
        <v>9.3000000000000007</v>
      </c>
      <c r="AG57" s="54">
        <v>14.1</v>
      </c>
      <c r="AH57" s="47">
        <f t="shared" si="2"/>
        <v>9.6999999999999993</v>
      </c>
      <c r="AI57" s="48">
        <f t="shared" si="3"/>
        <v>9.3000000000000007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3.8</v>
      </c>
      <c r="C58" s="65">
        <v>3.8</v>
      </c>
      <c r="D58" s="65">
        <v>3.8</v>
      </c>
      <c r="E58" s="65">
        <v>3.8</v>
      </c>
      <c r="F58" s="65">
        <v>3.8</v>
      </c>
      <c r="G58" s="65">
        <v>3.8</v>
      </c>
      <c r="H58" s="65">
        <v>3.8</v>
      </c>
      <c r="I58" s="65">
        <v>3.8</v>
      </c>
      <c r="J58" s="65">
        <v>3.8</v>
      </c>
      <c r="K58" s="65">
        <v>3.8</v>
      </c>
      <c r="L58" s="65">
        <v>3.8</v>
      </c>
      <c r="M58" s="65">
        <v>3.8</v>
      </c>
      <c r="N58" s="65">
        <v>3.8</v>
      </c>
      <c r="O58" s="65">
        <v>3.8</v>
      </c>
      <c r="P58" s="65">
        <v>3.8</v>
      </c>
      <c r="Q58" s="65">
        <v>3.8</v>
      </c>
      <c r="R58" s="65">
        <v>3.8</v>
      </c>
      <c r="S58" s="65">
        <v>4.8</v>
      </c>
      <c r="T58" s="65">
        <v>4.8</v>
      </c>
      <c r="U58" s="65">
        <v>4.8</v>
      </c>
      <c r="V58" s="65">
        <v>3</v>
      </c>
      <c r="W58" s="65">
        <v>3</v>
      </c>
      <c r="X58" s="65">
        <v>3</v>
      </c>
      <c r="Y58" s="65">
        <v>5.2</v>
      </c>
      <c r="Z58" s="65">
        <v>5.2</v>
      </c>
      <c r="AA58" s="65">
        <v>5.2</v>
      </c>
      <c r="AB58" s="65">
        <v>5.2</v>
      </c>
      <c r="AC58" s="65">
        <v>5.0999999999999996</v>
      </c>
      <c r="AD58" s="65">
        <v>5.0999999999999996</v>
      </c>
      <c r="AE58" s="65">
        <v>5.0999999999999996</v>
      </c>
      <c r="AF58" s="65">
        <v>5.0999999999999996</v>
      </c>
      <c r="AG58" s="54">
        <v>14</v>
      </c>
      <c r="AH58" s="47">
        <f t="shared" si="2"/>
        <v>5.2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4.5</v>
      </c>
      <c r="C59" s="65">
        <v>4.5</v>
      </c>
      <c r="D59" s="65">
        <v>4.5</v>
      </c>
      <c r="E59" s="65">
        <v>4.5</v>
      </c>
      <c r="F59" s="65">
        <v>4.5</v>
      </c>
      <c r="G59" s="65">
        <v>4.5</v>
      </c>
      <c r="H59" s="65">
        <v>4.5</v>
      </c>
      <c r="I59" s="65">
        <v>4.5</v>
      </c>
      <c r="J59" s="65">
        <v>4.5</v>
      </c>
      <c r="K59" s="65">
        <v>4.5</v>
      </c>
      <c r="L59" s="65">
        <v>4.5</v>
      </c>
      <c r="M59" s="65">
        <v>4.5</v>
      </c>
      <c r="N59" s="65">
        <v>4.5</v>
      </c>
      <c r="O59" s="65">
        <v>4.5</v>
      </c>
      <c r="P59" s="65">
        <v>4.5</v>
      </c>
      <c r="Q59" s="65">
        <v>4.5</v>
      </c>
      <c r="R59" s="65">
        <v>4.5</v>
      </c>
      <c r="S59" s="65">
        <v>4.5</v>
      </c>
      <c r="T59" s="65">
        <v>4.5</v>
      </c>
      <c r="U59" s="65">
        <v>4.5</v>
      </c>
      <c r="V59" s="65">
        <v>4.5</v>
      </c>
      <c r="W59" s="65">
        <v>4.5</v>
      </c>
      <c r="X59" s="65">
        <v>4.5</v>
      </c>
      <c r="Y59" s="65">
        <v>4.5</v>
      </c>
      <c r="Z59" s="65">
        <v>4.5</v>
      </c>
      <c r="AA59" s="65">
        <v>4.5</v>
      </c>
      <c r="AB59" s="65">
        <v>4.5</v>
      </c>
      <c r="AC59" s="65">
        <v>4.5</v>
      </c>
      <c r="AD59" s="65">
        <v>4.5</v>
      </c>
      <c r="AE59" s="65">
        <v>4.5</v>
      </c>
      <c r="AF59" s="65">
        <v>4.5</v>
      </c>
      <c r="AG59" s="54">
        <v>10.050000000000001</v>
      </c>
      <c r="AH59" s="47">
        <f t="shared" si="2"/>
        <v>4.5</v>
      </c>
      <c r="AI59" s="48">
        <f t="shared" si="3"/>
        <v>4.5</v>
      </c>
      <c r="AK59" s="49"/>
    </row>
    <row r="60" spans="1:41" x14ac:dyDescent="0.25">
      <c r="A60" s="53" t="s">
        <v>68</v>
      </c>
      <c r="B60" s="65">
        <v>2.25</v>
      </c>
      <c r="C60" s="65">
        <v>2.25</v>
      </c>
      <c r="D60" s="65">
        <v>2.25</v>
      </c>
      <c r="E60" s="65">
        <v>2.25</v>
      </c>
      <c r="F60" s="65">
        <v>2.25</v>
      </c>
      <c r="G60" s="65">
        <v>2.25</v>
      </c>
      <c r="H60" s="65">
        <v>2.25</v>
      </c>
      <c r="I60" s="65">
        <v>2.25</v>
      </c>
      <c r="J60" s="65">
        <v>2.25</v>
      </c>
      <c r="K60" s="65">
        <v>2.25</v>
      </c>
      <c r="L60" s="65">
        <v>2.25</v>
      </c>
      <c r="M60" s="65">
        <v>2.25</v>
      </c>
      <c r="N60" s="65">
        <v>2.25</v>
      </c>
      <c r="O60" s="65">
        <v>2.25</v>
      </c>
      <c r="P60" s="65">
        <v>2.25</v>
      </c>
      <c r="Q60" s="65">
        <v>2.25</v>
      </c>
      <c r="R60" s="65">
        <v>2.25</v>
      </c>
      <c r="S60" s="65">
        <v>2.25</v>
      </c>
      <c r="T60" s="65">
        <v>2.25</v>
      </c>
      <c r="U60" s="65">
        <v>2.25</v>
      </c>
      <c r="V60" s="65">
        <v>2.25</v>
      </c>
      <c r="W60" s="65">
        <v>2.25</v>
      </c>
      <c r="X60" s="65">
        <v>2.25</v>
      </c>
      <c r="Y60" s="65">
        <v>2.25</v>
      </c>
      <c r="Z60" s="65">
        <v>2.25</v>
      </c>
      <c r="AA60" s="65">
        <v>2.25</v>
      </c>
      <c r="AB60" s="65">
        <v>2.25</v>
      </c>
      <c r="AC60" s="65">
        <v>2.25</v>
      </c>
      <c r="AD60" s="65">
        <v>2.25</v>
      </c>
      <c r="AE60" s="65">
        <v>2.25</v>
      </c>
      <c r="AF60" s="65">
        <v>2.25</v>
      </c>
      <c r="AG60" s="54">
        <v>6.2</v>
      </c>
      <c r="AH60" s="47">
        <f t="shared" si="2"/>
        <v>2.25</v>
      </c>
      <c r="AI60" s="48">
        <f t="shared" si="3"/>
        <v>2.25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7">SUM(B49:B61)</f>
        <v>111.09</v>
      </c>
      <c r="C62" s="60">
        <f t="shared" si="7"/>
        <v>111.09</v>
      </c>
      <c r="D62" s="60">
        <f t="shared" si="7"/>
        <v>81.09</v>
      </c>
      <c r="E62" s="60">
        <f t="shared" si="7"/>
        <v>81.09</v>
      </c>
      <c r="F62" s="60">
        <f t="shared" si="7"/>
        <v>81.09</v>
      </c>
      <c r="G62" s="60">
        <f t="shared" si="7"/>
        <v>94.09</v>
      </c>
      <c r="H62" s="60">
        <f t="shared" si="7"/>
        <v>176.48999999999998</v>
      </c>
      <c r="I62" s="60">
        <f t="shared" si="7"/>
        <v>256.69</v>
      </c>
      <c r="J62" s="60">
        <f t="shared" si="7"/>
        <v>316.79000000000002</v>
      </c>
      <c r="K62" s="60">
        <f t="shared" si="7"/>
        <v>325.69000000000005</v>
      </c>
      <c r="L62" s="60">
        <f t="shared" si="7"/>
        <v>373.49</v>
      </c>
      <c r="M62" s="60">
        <f t="shared" si="7"/>
        <v>385.19000000000005</v>
      </c>
      <c r="N62" s="60">
        <f t="shared" si="7"/>
        <v>215.98999999999998</v>
      </c>
      <c r="O62" s="60">
        <f t="shared" si="7"/>
        <v>214.28999999999996</v>
      </c>
      <c r="P62" s="60">
        <f t="shared" si="7"/>
        <v>260.19</v>
      </c>
      <c r="Q62" s="60">
        <f t="shared" si="7"/>
        <v>278.49</v>
      </c>
      <c r="R62" s="60">
        <f t="shared" si="7"/>
        <v>241.79</v>
      </c>
      <c r="S62" s="60">
        <f t="shared" si="7"/>
        <v>242.79</v>
      </c>
      <c r="T62" s="60">
        <f t="shared" si="7"/>
        <v>242.79</v>
      </c>
      <c r="U62" s="60">
        <f t="shared" si="7"/>
        <v>239.59</v>
      </c>
      <c r="V62" s="60">
        <f t="shared" si="7"/>
        <v>242.18999999999997</v>
      </c>
      <c r="W62" s="60">
        <f t="shared" si="7"/>
        <v>242.98999999999998</v>
      </c>
      <c r="X62" s="60">
        <f t="shared" si="7"/>
        <v>245.98999999999998</v>
      </c>
      <c r="Y62" s="60">
        <f t="shared" si="7"/>
        <v>381.99</v>
      </c>
      <c r="Z62" s="60">
        <f t="shared" si="7"/>
        <v>370.99</v>
      </c>
      <c r="AA62" s="60">
        <f t="shared" si="7"/>
        <v>309.99</v>
      </c>
      <c r="AB62" s="60">
        <f t="shared" si="7"/>
        <v>258.18999999999994</v>
      </c>
      <c r="AC62" s="60">
        <f t="shared" si="7"/>
        <v>162.78999999999996</v>
      </c>
      <c r="AD62" s="60">
        <f t="shared" si="7"/>
        <v>159.38999999999999</v>
      </c>
      <c r="AE62" s="60">
        <f t="shared" si="7"/>
        <v>156.29</v>
      </c>
      <c r="AF62" s="60">
        <f t="shared" si="7"/>
        <v>130.19</v>
      </c>
      <c r="AG62" s="61">
        <f t="shared" si="7"/>
        <v>489.91</v>
      </c>
      <c r="AH62" s="47">
        <f t="shared" si="2"/>
        <v>385.19000000000005</v>
      </c>
      <c r="AI62" s="48">
        <f t="shared" si="3"/>
        <v>81.09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24</v>
      </c>
      <c r="L63" s="45">
        <v>30</v>
      </c>
      <c r="M63" s="45">
        <v>50</v>
      </c>
      <c r="N63" s="45">
        <v>50</v>
      </c>
      <c r="O63" s="45">
        <v>55</v>
      </c>
      <c r="P63" s="45">
        <v>25</v>
      </c>
      <c r="Q63" s="45">
        <v>30</v>
      </c>
      <c r="R63" s="45">
        <v>30</v>
      </c>
      <c r="S63" s="45">
        <v>30</v>
      </c>
      <c r="T63" s="45">
        <v>60</v>
      </c>
      <c r="U63" s="45">
        <v>60</v>
      </c>
      <c r="V63" s="45">
        <v>50</v>
      </c>
      <c r="W63" s="45">
        <v>50</v>
      </c>
      <c r="X63" s="45">
        <v>50</v>
      </c>
      <c r="Y63" s="45">
        <v>60</v>
      </c>
      <c r="Z63" s="45">
        <v>60</v>
      </c>
      <c r="AA63" s="45">
        <v>60</v>
      </c>
      <c r="AB63" s="45">
        <v>55</v>
      </c>
      <c r="AC63" s="45">
        <v>40</v>
      </c>
      <c r="AD63" s="45">
        <v>30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12</v>
      </c>
      <c r="L64" s="65">
        <v>14.5</v>
      </c>
      <c r="M64" s="65">
        <v>26.4</v>
      </c>
      <c r="N64" s="65">
        <v>21.3</v>
      </c>
      <c r="O64" s="65">
        <v>24.2</v>
      </c>
      <c r="P64" s="65">
        <v>13</v>
      </c>
      <c r="Q64" s="45">
        <v>9.1</v>
      </c>
      <c r="R64" s="45">
        <v>13.9</v>
      </c>
      <c r="S64" s="45">
        <v>13.9</v>
      </c>
      <c r="T64" s="65">
        <v>25.4</v>
      </c>
      <c r="U64" s="65">
        <v>27.8</v>
      </c>
      <c r="V64" s="65">
        <v>22</v>
      </c>
      <c r="W64" s="65">
        <v>15.8</v>
      </c>
      <c r="X64" s="65">
        <v>17</v>
      </c>
      <c r="Y64" s="65">
        <v>17.600000000000001</v>
      </c>
      <c r="Z64" s="65">
        <v>17.600000000000001</v>
      </c>
      <c r="AA64" s="65">
        <v>28</v>
      </c>
      <c r="AB64" s="65">
        <v>23.1</v>
      </c>
      <c r="AC64" s="65">
        <v>16</v>
      </c>
      <c r="AD64" s="65">
        <v>14</v>
      </c>
      <c r="AE64" s="65">
        <v>8.1999999999999993</v>
      </c>
      <c r="AF64" s="45">
        <v>0</v>
      </c>
      <c r="AG64" s="54">
        <v>32</v>
      </c>
      <c r="AH64" s="47">
        <f t="shared" si="2"/>
        <v>28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4.2</v>
      </c>
      <c r="L65" s="67">
        <v>5.3</v>
      </c>
      <c r="M65" s="67">
        <v>9.6</v>
      </c>
      <c r="N65" s="67">
        <v>7.8</v>
      </c>
      <c r="O65" s="67">
        <v>8.9</v>
      </c>
      <c r="P65" s="67">
        <v>4.7</v>
      </c>
      <c r="Q65" s="45">
        <v>3.3</v>
      </c>
      <c r="R65" s="45">
        <v>5.0999999999999996</v>
      </c>
      <c r="S65" s="45">
        <v>5.0999999999999996</v>
      </c>
      <c r="T65" s="67">
        <v>9.5</v>
      </c>
      <c r="U65" s="67">
        <v>10.1</v>
      </c>
      <c r="V65" s="67">
        <v>8</v>
      </c>
      <c r="W65" s="67">
        <v>5.8</v>
      </c>
      <c r="X65" s="67">
        <v>6.2</v>
      </c>
      <c r="Y65" s="67">
        <v>6.4</v>
      </c>
      <c r="Z65" s="67">
        <v>6.4</v>
      </c>
      <c r="AA65" s="67">
        <v>10.1</v>
      </c>
      <c r="AB65" s="67">
        <v>8.4</v>
      </c>
      <c r="AC65" s="67">
        <v>5.8</v>
      </c>
      <c r="AD65" s="67">
        <v>5.0999999999999996</v>
      </c>
      <c r="AE65" s="67">
        <v>3</v>
      </c>
      <c r="AF65" s="45">
        <v>0</v>
      </c>
      <c r="AG65" s="68">
        <v>14</v>
      </c>
      <c r="AH65" s="47">
        <f t="shared" si="2"/>
        <v>10.1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49.8</v>
      </c>
      <c r="M66" s="60">
        <f t="shared" ref="M66:AF66" si="8">M63+M64+M65</f>
        <v>86</v>
      </c>
      <c r="N66" s="60">
        <f t="shared" si="8"/>
        <v>79.099999999999994</v>
      </c>
      <c r="O66" s="60">
        <f t="shared" si="8"/>
        <v>88.100000000000009</v>
      </c>
      <c r="P66" s="60">
        <f t="shared" si="8"/>
        <v>42.7</v>
      </c>
      <c r="Q66" s="60">
        <f t="shared" si="8"/>
        <v>42.4</v>
      </c>
      <c r="R66" s="60">
        <f t="shared" si="8"/>
        <v>49</v>
      </c>
      <c r="S66" s="60">
        <f t="shared" si="8"/>
        <v>49</v>
      </c>
      <c r="T66" s="60">
        <f t="shared" si="8"/>
        <v>94.9</v>
      </c>
      <c r="U66" s="60">
        <f t="shared" si="8"/>
        <v>97.899999999999991</v>
      </c>
      <c r="V66" s="60">
        <f t="shared" si="8"/>
        <v>80</v>
      </c>
      <c r="W66" s="60">
        <f t="shared" si="8"/>
        <v>71.599999999999994</v>
      </c>
      <c r="X66" s="60">
        <f t="shared" si="8"/>
        <v>73.2</v>
      </c>
      <c r="Y66" s="60">
        <f t="shared" si="8"/>
        <v>84</v>
      </c>
      <c r="Z66" s="60">
        <f t="shared" si="8"/>
        <v>84</v>
      </c>
      <c r="AA66" s="60">
        <f t="shared" si="8"/>
        <v>98.1</v>
      </c>
      <c r="AB66" s="60">
        <f t="shared" si="8"/>
        <v>86.5</v>
      </c>
      <c r="AC66" s="60">
        <f t="shared" si="8"/>
        <v>61.8</v>
      </c>
      <c r="AD66" s="60">
        <f t="shared" si="8"/>
        <v>49.1</v>
      </c>
      <c r="AE66" s="60">
        <f t="shared" si="8"/>
        <v>11.2</v>
      </c>
      <c r="AF66" s="60">
        <f t="shared" si="8"/>
        <v>0</v>
      </c>
      <c r="AG66" s="61">
        <f>SUM(AG63:AG65)</f>
        <v>106</v>
      </c>
      <c r="AH66" s="47">
        <f t="shared" si="2"/>
        <v>98.1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349</v>
      </c>
      <c r="C69" s="65">
        <v>320</v>
      </c>
      <c r="D69" s="65">
        <v>335</v>
      </c>
      <c r="E69" s="65">
        <v>330</v>
      </c>
      <c r="F69" s="65">
        <v>340</v>
      </c>
      <c r="G69" s="65">
        <v>340</v>
      </c>
      <c r="H69" s="65">
        <v>350</v>
      </c>
      <c r="I69" s="65">
        <v>210</v>
      </c>
      <c r="J69" s="65">
        <v>65</v>
      </c>
      <c r="K69" s="65">
        <v>15</v>
      </c>
      <c r="L69" s="65">
        <v>15</v>
      </c>
      <c r="M69" s="65">
        <v>10</v>
      </c>
      <c r="N69" s="65">
        <v>170</v>
      </c>
      <c r="O69" s="65">
        <v>347</v>
      </c>
      <c r="P69" s="65">
        <v>345</v>
      </c>
      <c r="Q69" s="65">
        <v>350.4</v>
      </c>
      <c r="R69" s="65">
        <v>351</v>
      </c>
      <c r="S69" s="65">
        <v>368</v>
      </c>
      <c r="T69" s="65">
        <v>355.4</v>
      </c>
      <c r="U69" s="65">
        <v>395</v>
      </c>
      <c r="V69" s="65">
        <v>290</v>
      </c>
      <c r="W69" s="65">
        <v>209</v>
      </c>
      <c r="X69" s="65">
        <v>190</v>
      </c>
      <c r="Y69" s="65">
        <v>194</v>
      </c>
      <c r="Z69" s="65">
        <v>59</v>
      </c>
      <c r="AA69" s="65">
        <v>62.7</v>
      </c>
      <c r="AB69" s="65">
        <v>173.1</v>
      </c>
      <c r="AC69" s="65">
        <v>314.39999999999998</v>
      </c>
      <c r="AD69" s="65">
        <v>323.3</v>
      </c>
      <c r="AE69" s="65">
        <v>336.2</v>
      </c>
      <c r="AF69" s="65">
        <v>341.2</v>
      </c>
      <c r="AG69" s="75"/>
      <c r="AH69" s="47">
        <f t="shared" si="2"/>
        <v>395</v>
      </c>
      <c r="AI69" s="48">
        <f t="shared" si="3"/>
        <v>10</v>
      </c>
      <c r="AK69" s="49"/>
    </row>
    <row r="70" spans="1:40" x14ac:dyDescent="0.25">
      <c r="A70" s="53" t="s">
        <v>78</v>
      </c>
      <c r="B70" s="76">
        <v>58</v>
      </c>
      <c r="C70" s="76">
        <v>58</v>
      </c>
      <c r="D70" s="76">
        <v>63</v>
      </c>
      <c r="E70" s="76">
        <v>63</v>
      </c>
      <c r="F70" s="76">
        <v>63</v>
      </c>
      <c r="G70" s="76">
        <v>63</v>
      </c>
      <c r="H70" s="76">
        <v>63</v>
      </c>
      <c r="I70" s="76">
        <v>63</v>
      </c>
      <c r="J70" s="76">
        <v>63</v>
      </c>
      <c r="K70" s="76">
        <v>63</v>
      </c>
      <c r="L70" s="76">
        <v>63</v>
      </c>
      <c r="M70" s="76">
        <v>64.8</v>
      </c>
      <c r="N70" s="76">
        <v>65.400000000000006</v>
      </c>
      <c r="O70" s="76">
        <v>64.5</v>
      </c>
      <c r="P70" s="76">
        <v>65.2</v>
      </c>
      <c r="Q70" s="76">
        <v>66.400000000000006</v>
      </c>
      <c r="R70" s="76">
        <v>65.3</v>
      </c>
      <c r="S70" s="76">
        <v>65.599999999999994</v>
      </c>
      <c r="T70" s="76">
        <v>65.599999999999994</v>
      </c>
      <c r="U70" s="76">
        <v>68</v>
      </c>
      <c r="V70" s="76">
        <v>68</v>
      </c>
      <c r="W70" s="76">
        <v>50</v>
      </c>
      <c r="X70" s="76">
        <v>55</v>
      </c>
      <c r="Y70" s="65">
        <v>58</v>
      </c>
      <c r="Z70" s="65">
        <v>59</v>
      </c>
      <c r="AA70" s="65">
        <v>59</v>
      </c>
      <c r="AB70" s="65">
        <v>59</v>
      </c>
      <c r="AC70" s="65">
        <v>51.3</v>
      </c>
      <c r="AD70" s="65">
        <v>49.7</v>
      </c>
      <c r="AE70" s="65">
        <v>46.8</v>
      </c>
      <c r="AF70" s="65">
        <v>53.8</v>
      </c>
      <c r="AG70" s="75"/>
      <c r="AH70" s="47">
        <f t="shared" si="2"/>
        <v>68</v>
      </c>
      <c r="AI70" s="48">
        <f t="shared" si="3"/>
        <v>46.8</v>
      </c>
      <c r="AK70" s="49"/>
    </row>
    <row r="71" spans="1:40" x14ac:dyDescent="0.25">
      <c r="A71" s="53" t="s">
        <v>79</v>
      </c>
      <c r="B71" s="45">
        <v>80</v>
      </c>
      <c r="C71" s="45">
        <v>80</v>
      </c>
      <c r="D71" s="45">
        <v>80</v>
      </c>
      <c r="E71" s="45">
        <v>80</v>
      </c>
      <c r="F71" s="45">
        <v>80</v>
      </c>
      <c r="G71" s="45">
        <v>80</v>
      </c>
      <c r="H71" s="45">
        <v>80</v>
      </c>
      <c r="I71" s="45">
        <v>80</v>
      </c>
      <c r="J71" s="45">
        <v>80</v>
      </c>
      <c r="K71" s="45">
        <v>80</v>
      </c>
      <c r="L71" s="45">
        <v>80</v>
      </c>
      <c r="M71" s="45">
        <v>82</v>
      </c>
      <c r="N71" s="45">
        <v>70</v>
      </c>
      <c r="O71" s="45">
        <v>82</v>
      </c>
      <c r="P71" s="45">
        <v>68</v>
      </c>
      <c r="Q71" s="45">
        <v>72</v>
      </c>
      <c r="R71" s="45">
        <v>70</v>
      </c>
      <c r="S71" s="45">
        <v>70</v>
      </c>
      <c r="T71" s="45">
        <v>70</v>
      </c>
      <c r="U71" s="45">
        <v>70</v>
      </c>
      <c r="V71" s="45">
        <v>70</v>
      </c>
      <c r="W71" s="45">
        <v>70</v>
      </c>
      <c r="X71" s="45">
        <v>75</v>
      </c>
      <c r="Y71" s="45">
        <v>75</v>
      </c>
      <c r="Z71" s="45">
        <v>75</v>
      </c>
      <c r="AA71" s="45">
        <v>75</v>
      </c>
      <c r="AB71" s="45">
        <v>75</v>
      </c>
      <c r="AC71" s="45">
        <v>79</v>
      </c>
      <c r="AD71" s="45">
        <v>76</v>
      </c>
      <c r="AE71" s="45">
        <v>79.8</v>
      </c>
      <c r="AF71" s="45">
        <v>78.400000000000006</v>
      </c>
      <c r="AG71" s="75"/>
      <c r="AH71" s="47">
        <f t="shared" si="2"/>
        <v>82</v>
      </c>
      <c r="AI71" s="48">
        <f t="shared" si="3"/>
        <v>68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9">MAX(B75:AF75)</f>
        <v>0</v>
      </c>
      <c r="AI75" s="48">
        <f t="shared" ref="AI75:AI113" si="10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9"/>
        <v>0</v>
      </c>
      <c r="AI76" s="48">
        <f t="shared" si="10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9"/>
        <v>0</v>
      </c>
      <c r="AI77" s="48">
        <f t="shared" si="10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1">SUMIF(B67:B77,"&gt;0")</f>
        <v>492</v>
      </c>
      <c r="C78" s="60">
        <f t="shared" si="11"/>
        <v>463</v>
      </c>
      <c r="D78" s="60">
        <f t="shared" si="11"/>
        <v>483</v>
      </c>
      <c r="E78" s="60">
        <f t="shared" si="11"/>
        <v>478</v>
      </c>
      <c r="F78" s="60">
        <f t="shared" si="11"/>
        <v>488</v>
      </c>
      <c r="G78" s="60">
        <f t="shared" si="11"/>
        <v>488</v>
      </c>
      <c r="H78" s="60">
        <f t="shared" si="11"/>
        <v>498</v>
      </c>
      <c r="I78" s="60">
        <f t="shared" si="11"/>
        <v>358</v>
      </c>
      <c r="J78" s="60">
        <f t="shared" si="11"/>
        <v>213</v>
      </c>
      <c r="K78" s="60">
        <f t="shared" si="11"/>
        <v>163</v>
      </c>
      <c r="L78" s="60">
        <f t="shared" si="11"/>
        <v>163</v>
      </c>
      <c r="M78" s="60">
        <f t="shared" si="11"/>
        <v>161.80000000000001</v>
      </c>
      <c r="N78" s="60">
        <f t="shared" si="11"/>
        <v>310.39999999999998</v>
      </c>
      <c r="O78" s="60">
        <f t="shared" si="11"/>
        <v>498.5</v>
      </c>
      <c r="P78" s="60">
        <f t="shared" si="11"/>
        <v>483.2</v>
      </c>
      <c r="Q78" s="60">
        <f t="shared" si="11"/>
        <v>493.79999999999995</v>
      </c>
      <c r="R78" s="60">
        <f t="shared" si="11"/>
        <v>491.3</v>
      </c>
      <c r="S78" s="60">
        <f t="shared" si="11"/>
        <v>508.6</v>
      </c>
      <c r="T78" s="60">
        <f t="shared" si="11"/>
        <v>496</v>
      </c>
      <c r="U78" s="60">
        <f t="shared" si="11"/>
        <v>538</v>
      </c>
      <c r="V78" s="60">
        <f t="shared" si="11"/>
        <v>433</v>
      </c>
      <c r="W78" s="60">
        <f t="shared" si="11"/>
        <v>334</v>
      </c>
      <c r="X78" s="60">
        <f t="shared" si="11"/>
        <v>325</v>
      </c>
      <c r="Y78" s="60">
        <f t="shared" si="11"/>
        <v>332</v>
      </c>
      <c r="Z78" s="60">
        <f t="shared" si="11"/>
        <v>198</v>
      </c>
      <c r="AA78" s="60">
        <f t="shared" si="11"/>
        <v>201.7</v>
      </c>
      <c r="AB78" s="60">
        <f t="shared" si="11"/>
        <v>312.10000000000002</v>
      </c>
      <c r="AC78" s="60">
        <f t="shared" si="11"/>
        <v>449.7</v>
      </c>
      <c r="AD78" s="60">
        <f t="shared" si="11"/>
        <v>454</v>
      </c>
      <c r="AE78" s="60">
        <f t="shared" si="11"/>
        <v>467.8</v>
      </c>
      <c r="AF78" s="60">
        <f t="shared" si="11"/>
        <v>478.4</v>
      </c>
      <c r="AG78" s="88">
        <f>SUM(AG67:AG77)</f>
        <v>0</v>
      </c>
      <c r="AH78" s="47">
        <f t="shared" si="9"/>
        <v>538</v>
      </c>
      <c r="AI78" s="48">
        <f t="shared" si="10"/>
        <v>161.80000000000001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9"/>
        <v>0</v>
      </c>
      <c r="AI79" s="48">
        <f t="shared" si="10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9"/>
        <v>0</v>
      </c>
      <c r="AI80" s="48">
        <f t="shared" si="10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9"/>
        <v>0</v>
      </c>
      <c r="AI81" s="48">
        <f t="shared" si="10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9"/>
        <v>0</v>
      </c>
      <c r="AI82" s="48">
        <f t="shared" si="10"/>
        <v>0</v>
      </c>
    </row>
    <row r="83" spans="1:37" ht="15.75" thickBot="1" x14ac:dyDescent="0.3">
      <c r="A83" s="74" t="s">
        <v>94</v>
      </c>
      <c r="B83" s="95">
        <f>B44+B48+B66+B62+B78+B82</f>
        <v>999.08999999999992</v>
      </c>
      <c r="C83" s="95">
        <f t="shared" ref="C83:AG83" si="12">C44+C48+C66+C62+C78+C82</f>
        <v>970.08999999999992</v>
      </c>
      <c r="D83" s="95">
        <f t="shared" si="12"/>
        <v>960.08999999999992</v>
      </c>
      <c r="E83" s="95">
        <f t="shared" si="12"/>
        <v>955.08999999999992</v>
      </c>
      <c r="F83" s="95">
        <f t="shared" si="12"/>
        <v>965.08999999999992</v>
      </c>
      <c r="G83" s="95">
        <f t="shared" si="12"/>
        <v>978.08999999999992</v>
      </c>
      <c r="H83" s="95">
        <f t="shared" si="12"/>
        <v>1063.4899999999998</v>
      </c>
      <c r="I83" s="95">
        <f t="shared" si="12"/>
        <v>1163.69</v>
      </c>
      <c r="J83" s="95">
        <f t="shared" si="12"/>
        <v>1243.79</v>
      </c>
      <c r="K83" s="95">
        <f t="shared" si="12"/>
        <v>1152.69</v>
      </c>
      <c r="L83" s="95">
        <f t="shared" si="12"/>
        <v>1255.29</v>
      </c>
      <c r="M83" s="95">
        <f t="shared" si="12"/>
        <v>1291.8900000000001</v>
      </c>
      <c r="N83" s="95">
        <f t="shared" si="12"/>
        <v>1244.3899999999999</v>
      </c>
      <c r="O83" s="95">
        <f t="shared" si="12"/>
        <v>1232.69</v>
      </c>
      <c r="P83" s="95">
        <f t="shared" si="12"/>
        <v>1183.0899999999999</v>
      </c>
      <c r="Q83" s="95">
        <f t="shared" si="12"/>
        <v>1221.6899999999998</v>
      </c>
      <c r="R83" s="95">
        <f t="shared" si="12"/>
        <v>1179.0899999999999</v>
      </c>
      <c r="S83" s="95">
        <f t="shared" si="12"/>
        <v>1197.3899999999999</v>
      </c>
      <c r="T83" s="95">
        <f t="shared" si="12"/>
        <v>1230.69</v>
      </c>
      <c r="U83" s="95">
        <f t="shared" si="12"/>
        <v>1257.4899999999998</v>
      </c>
      <c r="V83" s="95">
        <f t="shared" si="12"/>
        <v>1267.19</v>
      </c>
      <c r="W83" s="95">
        <f t="shared" si="12"/>
        <v>1190.5900000000001</v>
      </c>
      <c r="X83" s="95">
        <f t="shared" si="12"/>
        <v>1216.19</v>
      </c>
      <c r="Y83" s="95">
        <f t="shared" si="12"/>
        <v>1365.79</v>
      </c>
      <c r="Z83" s="95">
        <f t="shared" si="12"/>
        <v>1340.79</v>
      </c>
      <c r="AA83" s="95">
        <f t="shared" si="12"/>
        <v>1297.5899999999999</v>
      </c>
      <c r="AB83" s="95">
        <f t="shared" si="12"/>
        <v>1199.5899999999999</v>
      </c>
      <c r="AC83" s="95">
        <f t="shared" si="12"/>
        <v>1136.29</v>
      </c>
      <c r="AD83" s="95">
        <f t="shared" si="12"/>
        <v>1094.49</v>
      </c>
      <c r="AE83" s="95">
        <f t="shared" si="12"/>
        <v>1073.8900000000001</v>
      </c>
      <c r="AF83" s="95">
        <f t="shared" si="12"/>
        <v>1038.0900000000001</v>
      </c>
      <c r="AG83" s="61">
        <f t="shared" si="12"/>
        <v>2004.1900000000003</v>
      </c>
      <c r="AH83" s="47">
        <f>MAX(B83:AF83)</f>
        <v>1365.79</v>
      </c>
      <c r="AI83" s="48">
        <f>MIN(B83:AF83)</f>
        <v>955.08999999999992</v>
      </c>
    </row>
    <row r="84" spans="1:37" ht="15.75" thickBot="1" x14ac:dyDescent="0.3">
      <c r="A84" s="96" t="s">
        <v>95</v>
      </c>
      <c r="B84" s="97">
        <v>60</v>
      </c>
      <c r="C84" s="97">
        <v>60</v>
      </c>
      <c r="D84" s="97">
        <v>60</v>
      </c>
      <c r="E84" s="97">
        <v>60</v>
      </c>
      <c r="F84" s="97">
        <v>60</v>
      </c>
      <c r="G84" s="97">
        <v>60</v>
      </c>
      <c r="H84" s="97">
        <v>60</v>
      </c>
      <c r="I84" s="97">
        <v>60</v>
      </c>
      <c r="J84" s="97">
        <v>60</v>
      </c>
      <c r="K84" s="97">
        <v>150</v>
      </c>
      <c r="L84" s="97">
        <v>150</v>
      </c>
      <c r="M84" s="97">
        <v>150</v>
      </c>
      <c r="N84" s="97">
        <v>150</v>
      </c>
      <c r="O84" s="97">
        <v>150</v>
      </c>
      <c r="P84" s="97">
        <v>60</v>
      </c>
      <c r="Q84" s="97">
        <v>60</v>
      </c>
      <c r="R84" s="97">
        <v>60</v>
      </c>
      <c r="S84" s="97"/>
      <c r="T84" s="97"/>
      <c r="U84" s="97"/>
      <c r="V84" s="97"/>
      <c r="W84" s="97">
        <v>150</v>
      </c>
      <c r="X84" s="97">
        <v>200</v>
      </c>
      <c r="Y84" s="97">
        <v>200</v>
      </c>
      <c r="Z84" s="97">
        <v>200</v>
      </c>
      <c r="AA84" s="97">
        <v>200</v>
      </c>
      <c r="AB84" s="97">
        <v>180</v>
      </c>
      <c r="AC84" s="97">
        <v>180</v>
      </c>
      <c r="AD84" s="97">
        <v>100</v>
      </c>
      <c r="AE84" s="97"/>
      <c r="AF84" s="97"/>
      <c r="AG84" s="88"/>
      <c r="AH84" s="47">
        <f t="shared" si="9"/>
        <v>200</v>
      </c>
      <c r="AI84" s="48">
        <f t="shared" si="10"/>
        <v>60</v>
      </c>
    </row>
    <row r="85" spans="1:37" ht="15.75" thickBot="1" x14ac:dyDescent="0.3">
      <c r="A85" s="74" t="s">
        <v>96</v>
      </c>
      <c r="B85" s="95">
        <f>B83+B84</f>
        <v>1059.0899999999999</v>
      </c>
      <c r="C85" s="95">
        <f t="shared" ref="C85:AF85" si="13">C83+C84</f>
        <v>1030.0899999999999</v>
      </c>
      <c r="D85" s="95">
        <f t="shared" si="13"/>
        <v>1020.0899999999999</v>
      </c>
      <c r="E85" s="95">
        <f t="shared" si="13"/>
        <v>1015.0899999999999</v>
      </c>
      <c r="F85" s="95">
        <f t="shared" si="13"/>
        <v>1025.0899999999999</v>
      </c>
      <c r="G85" s="95">
        <f t="shared" si="13"/>
        <v>1038.0899999999999</v>
      </c>
      <c r="H85" s="95">
        <f t="shared" si="13"/>
        <v>1123.4899999999998</v>
      </c>
      <c r="I85" s="95">
        <f t="shared" si="13"/>
        <v>1223.69</v>
      </c>
      <c r="J85" s="95">
        <f t="shared" si="13"/>
        <v>1303.79</v>
      </c>
      <c r="K85" s="95">
        <f t="shared" si="13"/>
        <v>1302.69</v>
      </c>
      <c r="L85" s="95">
        <f t="shared" si="13"/>
        <v>1405.29</v>
      </c>
      <c r="M85" s="95">
        <f t="shared" si="13"/>
        <v>1441.89</v>
      </c>
      <c r="N85" s="95">
        <f t="shared" si="13"/>
        <v>1394.3899999999999</v>
      </c>
      <c r="O85" s="95">
        <f t="shared" si="13"/>
        <v>1382.69</v>
      </c>
      <c r="P85" s="95">
        <f t="shared" si="13"/>
        <v>1243.0899999999999</v>
      </c>
      <c r="Q85" s="95">
        <f t="shared" si="13"/>
        <v>1281.6899999999998</v>
      </c>
      <c r="R85" s="95">
        <f t="shared" si="13"/>
        <v>1239.0899999999999</v>
      </c>
      <c r="S85" s="95">
        <f t="shared" si="13"/>
        <v>1197.3899999999999</v>
      </c>
      <c r="T85" s="95">
        <f t="shared" si="13"/>
        <v>1230.69</v>
      </c>
      <c r="U85" s="95">
        <f t="shared" si="13"/>
        <v>1257.4899999999998</v>
      </c>
      <c r="V85" s="95">
        <f t="shared" si="13"/>
        <v>1267.19</v>
      </c>
      <c r="W85" s="95">
        <f t="shared" si="13"/>
        <v>1340.5900000000001</v>
      </c>
      <c r="X85" s="95">
        <f t="shared" si="13"/>
        <v>1416.19</v>
      </c>
      <c r="Y85" s="95">
        <f t="shared" si="13"/>
        <v>1565.79</v>
      </c>
      <c r="Z85" s="95">
        <f t="shared" si="13"/>
        <v>1540.79</v>
      </c>
      <c r="AA85" s="95">
        <f t="shared" si="13"/>
        <v>1497.59</v>
      </c>
      <c r="AB85" s="95">
        <f t="shared" si="13"/>
        <v>1379.59</v>
      </c>
      <c r="AC85" s="95">
        <f t="shared" si="13"/>
        <v>1316.29</v>
      </c>
      <c r="AD85" s="95">
        <f t="shared" si="13"/>
        <v>1194.49</v>
      </c>
      <c r="AE85" s="95">
        <f t="shared" si="13"/>
        <v>1073.8900000000001</v>
      </c>
      <c r="AF85" s="95">
        <f t="shared" si="13"/>
        <v>1038.0900000000001</v>
      </c>
      <c r="AG85" s="88">
        <f>AG82+AG78+AG66+AG62+AG44+AG84</f>
        <v>1466.0900000000001</v>
      </c>
      <c r="AH85" s="47">
        <f t="shared" si="9"/>
        <v>1565.79</v>
      </c>
      <c r="AI85" s="48">
        <f t="shared" si="10"/>
        <v>1015.0899999999999</v>
      </c>
    </row>
    <row r="86" spans="1:37" ht="15.75" thickBot="1" x14ac:dyDescent="0.3">
      <c r="A86" s="74" t="s">
        <v>97</v>
      </c>
      <c r="B86" s="95">
        <f t="shared" ref="B86:AF86" si="14">B85-B93</f>
        <v>1059.0899999999999</v>
      </c>
      <c r="C86" s="95">
        <f t="shared" si="14"/>
        <v>1030.0899999999999</v>
      </c>
      <c r="D86" s="95">
        <f t="shared" si="14"/>
        <v>1020.0899999999999</v>
      </c>
      <c r="E86" s="95">
        <f t="shared" si="14"/>
        <v>1015.0899999999999</v>
      </c>
      <c r="F86" s="95">
        <f t="shared" si="14"/>
        <v>1025.0899999999999</v>
      </c>
      <c r="G86" s="95">
        <f t="shared" si="14"/>
        <v>1038.0899999999999</v>
      </c>
      <c r="H86" s="95">
        <f t="shared" si="14"/>
        <v>1123.4899999999998</v>
      </c>
      <c r="I86" s="95">
        <f t="shared" si="14"/>
        <v>1223.69</v>
      </c>
      <c r="J86" s="95">
        <f t="shared" si="14"/>
        <v>1303.79</v>
      </c>
      <c r="K86" s="95">
        <f t="shared" si="14"/>
        <v>1302.69</v>
      </c>
      <c r="L86" s="95">
        <f t="shared" si="14"/>
        <v>1405.29</v>
      </c>
      <c r="M86" s="95">
        <f t="shared" si="14"/>
        <v>1441.89</v>
      </c>
      <c r="N86" s="95">
        <f t="shared" si="14"/>
        <v>1394.3899999999999</v>
      </c>
      <c r="O86" s="95">
        <f t="shared" si="14"/>
        <v>1382.69</v>
      </c>
      <c r="P86" s="95">
        <f t="shared" si="14"/>
        <v>1243.0899999999999</v>
      </c>
      <c r="Q86" s="95">
        <f t="shared" si="14"/>
        <v>1281.6899999999998</v>
      </c>
      <c r="R86" s="95">
        <f t="shared" si="14"/>
        <v>1239.0899999999999</v>
      </c>
      <c r="S86" s="95">
        <f t="shared" si="14"/>
        <v>1197.3899999999999</v>
      </c>
      <c r="T86" s="95">
        <f t="shared" si="14"/>
        <v>1230.69</v>
      </c>
      <c r="U86" s="95">
        <f t="shared" si="14"/>
        <v>1257.4899999999998</v>
      </c>
      <c r="V86" s="95">
        <f t="shared" si="14"/>
        <v>1267.19</v>
      </c>
      <c r="W86" s="95">
        <f t="shared" si="14"/>
        <v>1340.5900000000001</v>
      </c>
      <c r="X86" s="95">
        <f t="shared" si="14"/>
        <v>1416.19</v>
      </c>
      <c r="Y86" s="95">
        <f t="shared" si="14"/>
        <v>1565.79</v>
      </c>
      <c r="Z86" s="95">
        <f t="shared" si="14"/>
        <v>1540.79</v>
      </c>
      <c r="AA86" s="95">
        <f t="shared" si="14"/>
        <v>1497.59</v>
      </c>
      <c r="AB86" s="95">
        <f t="shared" si="14"/>
        <v>1379.59</v>
      </c>
      <c r="AC86" s="95">
        <f t="shared" si="14"/>
        <v>1316.29</v>
      </c>
      <c r="AD86" s="95">
        <f t="shared" si="14"/>
        <v>1194.49</v>
      </c>
      <c r="AE86" s="95">
        <f t="shared" si="14"/>
        <v>1073.8900000000001</v>
      </c>
      <c r="AF86" s="95">
        <f t="shared" si="14"/>
        <v>1038.0900000000001</v>
      </c>
      <c r="AG86" s="88"/>
      <c r="AH86" s="47">
        <f t="shared" si="9"/>
        <v>1565.79</v>
      </c>
      <c r="AI86" s="48">
        <f t="shared" si="10"/>
        <v>1015.0899999999999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9"/>
        <v>0</v>
      </c>
      <c r="AI87" s="48">
        <f t="shared" si="10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9"/>
        <v>0</v>
      </c>
      <c r="AI88" s="48">
        <f t="shared" si="10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9"/>
        <v>0</v>
      </c>
      <c r="AI89" s="48">
        <f t="shared" si="10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9"/>
        <v>0</v>
      </c>
      <c r="AI90" s="48">
        <f t="shared" si="10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9"/>
        <v>0</v>
      </c>
      <c r="AI91" s="48">
        <f t="shared" si="10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9"/>
        <v>0</v>
      </c>
      <c r="AI92" s="48">
        <f t="shared" si="10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9"/>
        <v>0</v>
      </c>
      <c r="AI93" s="48">
        <f t="shared" si="10"/>
        <v>0</v>
      </c>
      <c r="AK93" s="49"/>
    </row>
    <row r="94" spans="1:37" ht="15.75" thickBot="1" x14ac:dyDescent="0.3">
      <c r="A94" s="74" t="s">
        <v>102</v>
      </c>
      <c r="B94" s="60">
        <f t="shared" ref="B94:AF94" si="15">B78-B93</f>
        <v>492</v>
      </c>
      <c r="C94" s="60">
        <f t="shared" si="15"/>
        <v>463</v>
      </c>
      <c r="D94" s="60">
        <f t="shared" si="15"/>
        <v>483</v>
      </c>
      <c r="E94" s="60">
        <f t="shared" si="15"/>
        <v>478</v>
      </c>
      <c r="F94" s="60">
        <f t="shared" si="15"/>
        <v>488</v>
      </c>
      <c r="G94" s="60">
        <f t="shared" si="15"/>
        <v>488</v>
      </c>
      <c r="H94" s="60">
        <f t="shared" si="15"/>
        <v>498</v>
      </c>
      <c r="I94" s="60">
        <f t="shared" si="15"/>
        <v>358</v>
      </c>
      <c r="J94" s="60">
        <f t="shared" si="15"/>
        <v>213</v>
      </c>
      <c r="K94" s="60">
        <f t="shared" si="15"/>
        <v>163</v>
      </c>
      <c r="L94" s="60">
        <f t="shared" si="15"/>
        <v>163</v>
      </c>
      <c r="M94" s="60">
        <f t="shared" si="15"/>
        <v>161.80000000000001</v>
      </c>
      <c r="N94" s="60">
        <f t="shared" si="15"/>
        <v>310.39999999999998</v>
      </c>
      <c r="O94" s="60">
        <f t="shared" si="15"/>
        <v>498.5</v>
      </c>
      <c r="P94" s="60">
        <f t="shared" si="15"/>
        <v>483.2</v>
      </c>
      <c r="Q94" s="60">
        <f t="shared" si="15"/>
        <v>493.79999999999995</v>
      </c>
      <c r="R94" s="60">
        <f t="shared" si="15"/>
        <v>491.3</v>
      </c>
      <c r="S94" s="60">
        <f t="shared" si="15"/>
        <v>508.6</v>
      </c>
      <c r="T94" s="60">
        <f t="shared" si="15"/>
        <v>496</v>
      </c>
      <c r="U94" s="60">
        <f t="shared" si="15"/>
        <v>538</v>
      </c>
      <c r="V94" s="60">
        <f t="shared" si="15"/>
        <v>433</v>
      </c>
      <c r="W94" s="60">
        <f t="shared" si="15"/>
        <v>334</v>
      </c>
      <c r="X94" s="60">
        <f t="shared" si="15"/>
        <v>325</v>
      </c>
      <c r="Y94" s="60">
        <f t="shared" si="15"/>
        <v>332</v>
      </c>
      <c r="Z94" s="60">
        <f t="shared" si="15"/>
        <v>198</v>
      </c>
      <c r="AA94" s="60">
        <f t="shared" si="15"/>
        <v>201.7</v>
      </c>
      <c r="AB94" s="60">
        <f t="shared" si="15"/>
        <v>312.10000000000002</v>
      </c>
      <c r="AC94" s="60">
        <f t="shared" si="15"/>
        <v>449.7</v>
      </c>
      <c r="AD94" s="60">
        <f t="shared" si="15"/>
        <v>454</v>
      </c>
      <c r="AE94" s="60">
        <f t="shared" si="15"/>
        <v>467.8</v>
      </c>
      <c r="AF94" s="60">
        <f t="shared" si="15"/>
        <v>478.4</v>
      </c>
      <c r="AG94" s="88"/>
      <c r="AH94" s="47">
        <f t="shared" si="9"/>
        <v>538</v>
      </c>
      <c r="AI94" s="48">
        <f t="shared" si="10"/>
        <v>161.80000000000001</v>
      </c>
    </row>
    <row r="95" spans="1:37" x14ac:dyDescent="0.25">
      <c r="A95" s="100" t="s">
        <v>103</v>
      </c>
      <c r="B95" s="101">
        <v>50.08</v>
      </c>
      <c r="C95" s="101">
        <v>49.96</v>
      </c>
      <c r="D95" s="101">
        <v>50.03</v>
      </c>
      <c r="E95" s="101">
        <v>50.03</v>
      </c>
      <c r="F95" s="101">
        <v>49.87</v>
      </c>
      <c r="G95" s="101">
        <v>49.87</v>
      </c>
      <c r="H95" s="101">
        <v>49.88</v>
      </c>
      <c r="I95" s="101">
        <v>49.87</v>
      </c>
      <c r="J95" s="101">
        <v>50.01</v>
      </c>
      <c r="K95" s="101">
        <v>49.97</v>
      </c>
      <c r="L95" s="101">
        <v>49.86</v>
      </c>
      <c r="M95" s="101">
        <v>49.906999999999996</v>
      </c>
      <c r="N95" s="101">
        <v>50.094000000000001</v>
      </c>
      <c r="O95" s="101">
        <v>49.811</v>
      </c>
      <c r="P95" s="101">
        <v>50.051000000000002</v>
      </c>
      <c r="Q95" s="101">
        <v>49.761000000000003</v>
      </c>
      <c r="R95" s="101">
        <v>50.034999999999997</v>
      </c>
      <c r="S95" s="101">
        <v>50.003999999999998</v>
      </c>
      <c r="T95" s="101">
        <v>50.08</v>
      </c>
      <c r="U95" s="101">
        <v>49.826999999999998</v>
      </c>
      <c r="V95" s="101">
        <v>50.167000000000002</v>
      </c>
      <c r="W95" s="101">
        <v>50.106000000000002</v>
      </c>
      <c r="X95" s="101">
        <v>50.055</v>
      </c>
      <c r="Y95" s="101">
        <v>50.04</v>
      </c>
      <c r="Z95" s="101">
        <v>50.054000000000002</v>
      </c>
      <c r="AA95" s="101">
        <v>50.027999999999999</v>
      </c>
      <c r="AB95" s="101">
        <v>50.131999999999998</v>
      </c>
      <c r="AC95" s="101">
        <v>50.006999999999998</v>
      </c>
      <c r="AD95" s="101">
        <v>49.975999999999999</v>
      </c>
      <c r="AE95" s="101">
        <v>49.98</v>
      </c>
      <c r="AF95" s="101">
        <v>49.9</v>
      </c>
      <c r="AG95" s="102"/>
      <c r="AH95" s="47">
        <f t="shared" si="9"/>
        <v>50.167000000000002</v>
      </c>
      <c r="AI95" s="48">
        <f t="shared" si="10"/>
        <v>49.761000000000003</v>
      </c>
    </row>
    <row r="96" spans="1:37" x14ac:dyDescent="0.25">
      <c r="A96" s="103" t="s">
        <v>104</v>
      </c>
      <c r="B96" s="65">
        <v>129.5</v>
      </c>
      <c r="C96" s="65">
        <v>129.5</v>
      </c>
      <c r="D96" s="65">
        <v>129.5</v>
      </c>
      <c r="E96" s="65">
        <v>129.5</v>
      </c>
      <c r="F96" s="65">
        <v>127.9</v>
      </c>
      <c r="G96" s="65">
        <v>127.9</v>
      </c>
      <c r="H96" s="65">
        <v>129.30000000000001</v>
      </c>
      <c r="I96" s="65">
        <v>126.2</v>
      </c>
      <c r="J96" s="65">
        <v>127.3</v>
      </c>
      <c r="K96" s="65">
        <v>129.30000000000001</v>
      </c>
      <c r="L96" s="65">
        <v>126.7</v>
      </c>
      <c r="M96" s="65">
        <v>127.6</v>
      </c>
      <c r="N96" s="65">
        <v>127</v>
      </c>
      <c r="O96" s="65">
        <v>125.6</v>
      </c>
      <c r="P96" s="65">
        <v>125.9</v>
      </c>
      <c r="Q96" s="65">
        <v>124.5</v>
      </c>
      <c r="R96" s="65">
        <v>125.9</v>
      </c>
      <c r="S96" s="65">
        <v>125.5</v>
      </c>
      <c r="T96" s="65">
        <v>126.2</v>
      </c>
      <c r="U96" s="65">
        <v>126.1</v>
      </c>
      <c r="V96" s="65">
        <v>128.19999999999999</v>
      </c>
      <c r="W96" s="65">
        <v>128.19999999999999</v>
      </c>
      <c r="X96" s="65">
        <v>130</v>
      </c>
      <c r="Y96" s="65">
        <v>130</v>
      </c>
      <c r="Z96" s="65">
        <v>130.1</v>
      </c>
      <c r="AA96" s="65">
        <v>130.5</v>
      </c>
      <c r="AB96" s="65">
        <v>131.6</v>
      </c>
      <c r="AC96" s="65">
        <v>130.80000000000001</v>
      </c>
      <c r="AD96" s="65">
        <v>130.5</v>
      </c>
      <c r="AE96" s="65">
        <v>130.30000000000001</v>
      </c>
      <c r="AF96" s="65">
        <v>128.4</v>
      </c>
      <c r="AG96" s="104"/>
      <c r="AH96" s="47">
        <f t="shared" si="9"/>
        <v>131.6</v>
      </c>
      <c r="AI96" s="48">
        <f t="shared" si="10"/>
        <v>124.5</v>
      </c>
    </row>
    <row r="97" spans="1:35" x14ac:dyDescent="0.25">
      <c r="A97" s="103" t="s">
        <v>105</v>
      </c>
      <c r="B97" s="65">
        <v>132.5</v>
      </c>
      <c r="C97" s="65">
        <v>132.5</v>
      </c>
      <c r="D97" s="65">
        <v>132.5</v>
      </c>
      <c r="E97" s="65">
        <v>132.5</v>
      </c>
      <c r="F97" s="65">
        <v>131.1</v>
      </c>
      <c r="G97" s="65">
        <v>131.1</v>
      </c>
      <c r="H97" s="65">
        <v>132</v>
      </c>
      <c r="I97" s="65">
        <v>128.9</v>
      </c>
      <c r="J97" s="65">
        <v>129.80000000000001</v>
      </c>
      <c r="K97" s="65">
        <v>130.80000000000001</v>
      </c>
      <c r="L97" s="65">
        <v>128.5</v>
      </c>
      <c r="M97" s="65">
        <v>129.30000000000001</v>
      </c>
      <c r="N97" s="65">
        <v>129.69999999999999</v>
      </c>
      <c r="O97" s="65">
        <v>128.30000000000001</v>
      </c>
      <c r="P97" s="65">
        <v>128.5</v>
      </c>
      <c r="Q97" s="65">
        <v>127.3</v>
      </c>
      <c r="R97" s="65">
        <v>128.30000000000001</v>
      </c>
      <c r="S97" s="65">
        <v>128.30000000000001</v>
      </c>
      <c r="T97" s="65">
        <v>129.19999999999999</v>
      </c>
      <c r="U97" s="65">
        <v>129</v>
      </c>
      <c r="V97" s="65">
        <v>130.30000000000001</v>
      </c>
      <c r="W97" s="65">
        <v>130.4</v>
      </c>
      <c r="X97" s="65">
        <v>131.19999999999999</v>
      </c>
      <c r="Y97" s="65">
        <v>131.19999999999999</v>
      </c>
      <c r="Z97" s="65">
        <v>131.6</v>
      </c>
      <c r="AA97" s="65">
        <v>132</v>
      </c>
      <c r="AB97" s="65">
        <v>132.9</v>
      </c>
      <c r="AC97" s="65">
        <v>132.80000000000001</v>
      </c>
      <c r="AD97" s="65">
        <v>132.80000000000001</v>
      </c>
      <c r="AE97" s="65">
        <v>132.9</v>
      </c>
      <c r="AF97" s="65">
        <v>131.6</v>
      </c>
      <c r="AG97" s="104"/>
      <c r="AH97" s="47">
        <f t="shared" si="9"/>
        <v>132.9</v>
      </c>
      <c r="AI97" s="48">
        <f t="shared" si="10"/>
        <v>127.3</v>
      </c>
    </row>
    <row r="98" spans="1:35" x14ac:dyDescent="0.25">
      <c r="A98" s="103" t="s">
        <v>106</v>
      </c>
      <c r="B98" s="65">
        <v>130</v>
      </c>
      <c r="C98" s="65">
        <v>130</v>
      </c>
      <c r="D98" s="65">
        <v>130</v>
      </c>
      <c r="E98" s="65">
        <v>130</v>
      </c>
      <c r="F98" s="65">
        <v>133.80000000000001</v>
      </c>
      <c r="G98" s="65">
        <v>133.80000000000001</v>
      </c>
      <c r="H98" s="65">
        <v>132.69999999999999</v>
      </c>
      <c r="I98" s="65">
        <v>128</v>
      </c>
      <c r="J98" s="65">
        <v>128.6</v>
      </c>
      <c r="K98" s="65">
        <v>131.1</v>
      </c>
      <c r="L98" s="65">
        <v>127.2</v>
      </c>
      <c r="M98" s="65">
        <v>127.1</v>
      </c>
      <c r="N98" s="65">
        <v>129</v>
      </c>
      <c r="O98" s="65">
        <v>128.4</v>
      </c>
      <c r="P98" s="65">
        <v>128.4</v>
      </c>
      <c r="Q98" s="65">
        <v>125.7</v>
      </c>
      <c r="R98" s="65">
        <v>128.19999999999999</v>
      </c>
      <c r="S98" s="65">
        <v>127.1</v>
      </c>
      <c r="T98" s="65">
        <v>127.1</v>
      </c>
      <c r="U98" s="65">
        <v>128</v>
      </c>
      <c r="V98" s="65">
        <v>130.4</v>
      </c>
      <c r="W98" s="65">
        <v>131.4</v>
      </c>
      <c r="X98" s="65">
        <v>130</v>
      </c>
      <c r="Y98" s="65">
        <v>130.1</v>
      </c>
      <c r="Z98" s="65">
        <v>130</v>
      </c>
      <c r="AA98" s="65">
        <v>130</v>
      </c>
      <c r="AB98" s="65">
        <v>132.4</v>
      </c>
      <c r="AC98" s="65">
        <v>132.5</v>
      </c>
      <c r="AD98" s="65">
        <v>132.30000000000001</v>
      </c>
      <c r="AE98" s="65">
        <v>130.4</v>
      </c>
      <c r="AF98" s="65">
        <v>129.9</v>
      </c>
      <c r="AG98" s="104"/>
      <c r="AH98" s="47">
        <f t="shared" si="9"/>
        <v>133.80000000000001</v>
      </c>
      <c r="AI98" s="48">
        <f t="shared" si="10"/>
        <v>125.7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9"/>
        <v>0</v>
      </c>
      <c r="AI99" s="48">
        <f t="shared" si="10"/>
        <v>0</v>
      </c>
    </row>
    <row r="100" spans="1:35" x14ac:dyDescent="0.25">
      <c r="A100" s="105" t="s">
        <v>108</v>
      </c>
      <c r="B100" s="106">
        <v>132</v>
      </c>
      <c r="C100" s="106">
        <v>132</v>
      </c>
      <c r="D100" s="106">
        <v>132</v>
      </c>
      <c r="E100" s="106">
        <v>132</v>
      </c>
      <c r="F100" s="106">
        <v>130</v>
      </c>
      <c r="G100" s="106">
        <v>130</v>
      </c>
      <c r="H100" s="106">
        <v>132.69999999999999</v>
      </c>
      <c r="I100" s="106">
        <v>130</v>
      </c>
      <c r="J100" s="106">
        <v>134.80000000000001</v>
      </c>
      <c r="K100" s="106">
        <v>134.19999999999999</v>
      </c>
      <c r="L100" s="106">
        <v>133.1</v>
      </c>
      <c r="M100" s="106">
        <v>133</v>
      </c>
      <c r="N100" s="106">
        <v>130.19999999999999</v>
      </c>
      <c r="O100" s="106">
        <v>132</v>
      </c>
      <c r="P100" s="106">
        <v>134.6</v>
      </c>
      <c r="Q100" s="106">
        <v>132.30000000000001</v>
      </c>
      <c r="R100" s="106">
        <v>132.9</v>
      </c>
      <c r="S100" s="106">
        <v>131.69999999999999</v>
      </c>
      <c r="T100" s="106">
        <v>134.5</v>
      </c>
      <c r="U100" s="106">
        <v>132.30000000000001</v>
      </c>
      <c r="V100" s="106">
        <v>137</v>
      </c>
      <c r="W100" s="106">
        <v>136.4</v>
      </c>
      <c r="X100" s="106">
        <v>137</v>
      </c>
      <c r="Y100" s="106">
        <v>135</v>
      </c>
      <c r="Z100" s="106">
        <v>136</v>
      </c>
      <c r="AA100" s="106">
        <v>134</v>
      </c>
      <c r="AB100" s="106">
        <v>135.5</v>
      </c>
      <c r="AC100" s="106">
        <v>133.80000000000001</v>
      </c>
      <c r="AD100" s="106">
        <v>133.5</v>
      </c>
      <c r="AE100" s="106">
        <v>134.6</v>
      </c>
      <c r="AF100" s="106">
        <v>130.19999999999999</v>
      </c>
      <c r="AG100" s="107"/>
      <c r="AH100" s="47">
        <f t="shared" si="9"/>
        <v>137</v>
      </c>
      <c r="AI100" s="48">
        <f t="shared" si="10"/>
        <v>130</v>
      </c>
    </row>
    <row r="101" spans="1:35" x14ac:dyDescent="0.25">
      <c r="A101" s="103" t="s">
        <v>109</v>
      </c>
      <c r="B101" s="65">
        <v>133.6</v>
      </c>
      <c r="C101" s="65">
        <v>133.6</v>
      </c>
      <c r="D101" s="65">
        <v>133.6</v>
      </c>
      <c r="E101" s="65">
        <v>133.6</v>
      </c>
      <c r="F101" s="65">
        <v>132</v>
      </c>
      <c r="G101" s="65">
        <v>132</v>
      </c>
      <c r="H101" s="65">
        <v>133.1</v>
      </c>
      <c r="I101" s="65">
        <v>128.69999999999999</v>
      </c>
      <c r="J101" s="65">
        <v>133.19999999999999</v>
      </c>
      <c r="K101" s="65">
        <v>133.69999999999999</v>
      </c>
      <c r="L101" s="65">
        <v>129.4</v>
      </c>
      <c r="M101" s="65">
        <v>128.5</v>
      </c>
      <c r="N101" s="65">
        <v>127</v>
      </c>
      <c r="O101" s="65">
        <v>132.80000000000001</v>
      </c>
      <c r="P101" s="65">
        <v>133.80000000000001</v>
      </c>
      <c r="Q101" s="65">
        <v>130.4</v>
      </c>
      <c r="R101" s="65">
        <v>131</v>
      </c>
      <c r="S101" s="65">
        <v>130</v>
      </c>
      <c r="T101" s="65">
        <v>133.30000000000001</v>
      </c>
      <c r="U101" s="65">
        <v>129.19999999999999</v>
      </c>
      <c r="V101" s="65">
        <v>137</v>
      </c>
      <c r="W101" s="65">
        <v>135.80000000000001</v>
      </c>
      <c r="X101" s="65">
        <v>138</v>
      </c>
      <c r="Y101" s="65">
        <v>132</v>
      </c>
      <c r="Z101" s="65">
        <v>133</v>
      </c>
      <c r="AA101" s="65">
        <v>133</v>
      </c>
      <c r="AB101" s="65">
        <v>136.1</v>
      </c>
      <c r="AC101" s="65">
        <v>133.9</v>
      </c>
      <c r="AD101" s="65">
        <v>134.69999999999999</v>
      </c>
      <c r="AE101" s="65">
        <v>135.80000000000001</v>
      </c>
      <c r="AF101" s="65">
        <v>132.30000000000001</v>
      </c>
      <c r="AG101" s="104"/>
      <c r="AH101" s="47">
        <f t="shared" si="9"/>
        <v>138</v>
      </c>
      <c r="AI101" s="48">
        <f t="shared" si="10"/>
        <v>127</v>
      </c>
    </row>
    <row r="102" spans="1:35" ht="15.75" thickBot="1" x14ac:dyDescent="0.3">
      <c r="A102" s="103" t="s">
        <v>110</v>
      </c>
      <c r="B102" s="92">
        <v>66.400000000000006</v>
      </c>
      <c r="C102" s="92">
        <v>66.400000000000006</v>
      </c>
      <c r="D102" s="92">
        <v>66.400000000000006</v>
      </c>
      <c r="E102" s="92">
        <v>66.400000000000006</v>
      </c>
      <c r="F102" s="92">
        <v>65.900000000000006</v>
      </c>
      <c r="G102" s="92">
        <v>65.900000000000006</v>
      </c>
      <c r="H102" s="92">
        <v>66.2</v>
      </c>
      <c r="I102" s="92">
        <v>64.7</v>
      </c>
      <c r="J102" s="92">
        <v>65.5</v>
      </c>
      <c r="K102" s="92">
        <v>65.400000000000006</v>
      </c>
      <c r="L102" s="92">
        <v>64.400000000000006</v>
      </c>
      <c r="M102" s="92">
        <v>64.7</v>
      </c>
      <c r="N102" s="92">
        <v>64.8</v>
      </c>
      <c r="O102" s="92">
        <v>64.2</v>
      </c>
      <c r="P102" s="92">
        <v>64.2</v>
      </c>
      <c r="Q102" s="92">
        <v>63.8</v>
      </c>
      <c r="R102" s="92">
        <v>64.400000000000006</v>
      </c>
      <c r="S102" s="92">
        <v>64.599999999999994</v>
      </c>
      <c r="T102" s="92">
        <v>65.099999999999994</v>
      </c>
      <c r="U102" s="92">
        <v>64.7</v>
      </c>
      <c r="V102" s="92">
        <v>65.2</v>
      </c>
      <c r="W102" s="92">
        <v>65.400000000000006</v>
      </c>
      <c r="X102" s="92">
        <v>65.599999999999994</v>
      </c>
      <c r="Y102" s="92">
        <v>66</v>
      </c>
      <c r="Z102" s="92">
        <v>66.099999999999994</v>
      </c>
      <c r="AA102" s="92">
        <v>66.2</v>
      </c>
      <c r="AB102" s="92">
        <v>66.5</v>
      </c>
      <c r="AC102" s="92">
        <v>66.400000000000006</v>
      </c>
      <c r="AD102" s="92">
        <v>66.400000000000006</v>
      </c>
      <c r="AE102" s="92">
        <v>66.400000000000006</v>
      </c>
      <c r="AF102" s="92">
        <v>66</v>
      </c>
      <c r="AG102" s="108"/>
      <c r="AH102" s="47">
        <f t="shared" si="9"/>
        <v>66.5</v>
      </c>
      <c r="AI102" s="48">
        <f t="shared" si="10"/>
        <v>63.8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9"/>
        <v>0</v>
      </c>
      <c r="AI103" s="48">
        <f t="shared" si="10"/>
        <v>0</v>
      </c>
    </row>
    <row r="104" spans="1:35" ht="15.75" thickBot="1" x14ac:dyDescent="0.3">
      <c r="A104" s="110" t="s">
        <v>112</v>
      </c>
      <c r="B104" s="111">
        <f t="shared" ref="B104:AF104" si="16">SUM(B16,B22,B25:B26,B52,B54:B55,B57,B59,B105:B109,B131,B137,B143,B152,B154,B166,B173,B176:B177,B184,B186,B188,B192:B194,B196:B198,B203,B209:B210,B212:B214,B222,B227)</f>
        <v>122.5</v>
      </c>
      <c r="C104" s="111">
        <f t="shared" si="16"/>
        <v>110.84</v>
      </c>
      <c r="D104" s="111">
        <f t="shared" si="16"/>
        <v>110.84</v>
      </c>
      <c r="E104" s="111">
        <f t="shared" si="16"/>
        <v>110.84</v>
      </c>
      <c r="F104" s="111">
        <f t="shared" si="16"/>
        <v>120.94</v>
      </c>
      <c r="G104" s="111">
        <f t="shared" si="16"/>
        <v>120.94</v>
      </c>
      <c r="H104" s="111">
        <f t="shared" si="16"/>
        <v>158.13999999999999</v>
      </c>
      <c r="I104" s="111">
        <f t="shared" si="16"/>
        <v>219.14</v>
      </c>
      <c r="J104" s="111">
        <f t="shared" si="16"/>
        <v>262.64000000000004</v>
      </c>
      <c r="K104" s="111">
        <f t="shared" si="16"/>
        <v>286.64</v>
      </c>
      <c r="L104" s="111">
        <f t="shared" si="16"/>
        <v>304.94</v>
      </c>
      <c r="M104" s="111">
        <f t="shared" si="16"/>
        <v>310.64000000000004</v>
      </c>
      <c r="N104" s="111">
        <f t="shared" si="16"/>
        <v>294.33999999999997</v>
      </c>
      <c r="O104" s="111">
        <f t="shared" si="16"/>
        <v>262.64</v>
      </c>
      <c r="P104" s="111">
        <v>42</v>
      </c>
      <c r="Q104" s="111">
        <f t="shared" si="16"/>
        <v>273.3</v>
      </c>
      <c r="R104" s="111">
        <f t="shared" si="16"/>
        <v>254.4</v>
      </c>
      <c r="S104" s="111">
        <f t="shared" si="16"/>
        <v>264.60000000000002</v>
      </c>
      <c r="T104" s="111">
        <f t="shared" si="16"/>
        <v>267.2</v>
      </c>
      <c r="U104" s="111">
        <f t="shared" si="16"/>
        <v>272.89999999999998</v>
      </c>
      <c r="V104" s="111">
        <f t="shared" si="16"/>
        <v>286.79999999999995</v>
      </c>
      <c r="W104" s="111">
        <f t="shared" si="16"/>
        <v>288.2</v>
      </c>
      <c r="X104" s="111">
        <f t="shared" si="16"/>
        <v>315.20000000000005</v>
      </c>
      <c r="Y104" s="111">
        <f t="shared" si="16"/>
        <v>358.4</v>
      </c>
      <c r="Z104" s="111">
        <f t="shared" si="16"/>
        <v>356.5</v>
      </c>
      <c r="AA104" s="111">
        <f t="shared" si="16"/>
        <v>340.4</v>
      </c>
      <c r="AB104" s="111">
        <f t="shared" si="16"/>
        <v>276.7</v>
      </c>
      <c r="AC104" s="111">
        <f t="shared" si="16"/>
        <v>251.2</v>
      </c>
      <c r="AD104" s="111">
        <f t="shared" si="16"/>
        <v>229.4</v>
      </c>
      <c r="AE104" s="111">
        <f t="shared" si="16"/>
        <v>196.39999999999998</v>
      </c>
      <c r="AF104" s="111">
        <f t="shared" si="16"/>
        <v>143.79999999999998</v>
      </c>
      <c r="AG104" s="112"/>
      <c r="AH104" s="47">
        <f t="shared" si="9"/>
        <v>358.4</v>
      </c>
      <c r="AI104" s="48">
        <f t="shared" si="10"/>
        <v>42</v>
      </c>
    </row>
    <row r="105" spans="1:35" x14ac:dyDescent="0.25">
      <c r="A105" s="100" t="s">
        <v>113</v>
      </c>
      <c r="B105" s="113">
        <v>-33</v>
      </c>
      <c r="C105" s="113">
        <v>-35</v>
      </c>
      <c r="D105" s="113">
        <v>-36</v>
      </c>
      <c r="E105" s="113">
        <v>-36</v>
      </c>
      <c r="F105" s="113">
        <v>-38.6</v>
      </c>
      <c r="G105" s="113">
        <v>-38.6</v>
      </c>
      <c r="H105" s="113">
        <v>-19.3</v>
      </c>
      <c r="I105" s="113">
        <v>-2.2000000000000002</v>
      </c>
      <c r="J105" s="113">
        <v>10.9</v>
      </c>
      <c r="K105" s="113">
        <v>22.3</v>
      </c>
      <c r="L105" s="113">
        <v>34.9</v>
      </c>
      <c r="M105" s="113">
        <v>32</v>
      </c>
      <c r="N105" s="113">
        <v>-2.5</v>
      </c>
      <c r="O105" s="113">
        <v>-7.7</v>
      </c>
      <c r="P105" s="113">
        <v>3.7</v>
      </c>
      <c r="Q105" s="113">
        <v>8.1999999999999993</v>
      </c>
      <c r="R105" s="113">
        <v>-7.5</v>
      </c>
      <c r="S105" s="113">
        <v>-7.2</v>
      </c>
      <c r="T105" s="113">
        <v>-12.2</v>
      </c>
      <c r="U105" s="113">
        <v>-11.4</v>
      </c>
      <c r="V105" s="113">
        <v>-9.4</v>
      </c>
      <c r="W105" s="113">
        <v>2.7</v>
      </c>
      <c r="X105" s="113">
        <v>8.4</v>
      </c>
      <c r="Y105" s="113">
        <v>30</v>
      </c>
      <c r="Z105" s="113">
        <v>26.1</v>
      </c>
      <c r="AA105" s="113">
        <v>16</v>
      </c>
      <c r="AB105" s="113">
        <v>7.4</v>
      </c>
      <c r="AC105" s="113">
        <v>-10.199999999999999</v>
      </c>
      <c r="AD105" s="113">
        <v>-6.3</v>
      </c>
      <c r="AE105" s="113">
        <v>-11.8</v>
      </c>
      <c r="AF105" s="113">
        <v>-27.7</v>
      </c>
      <c r="AG105" s="114">
        <v>75</v>
      </c>
      <c r="AH105" s="47">
        <f t="shared" si="9"/>
        <v>34.9</v>
      </c>
      <c r="AI105" s="48">
        <f t="shared" si="10"/>
        <v>-38.6</v>
      </c>
    </row>
    <row r="106" spans="1:35" x14ac:dyDescent="0.25">
      <c r="A106" s="103" t="s">
        <v>114</v>
      </c>
      <c r="B106" s="115">
        <v>-41</v>
      </c>
      <c r="C106" s="115">
        <v>-43</v>
      </c>
      <c r="D106" s="115">
        <v>-46</v>
      </c>
      <c r="E106" s="115">
        <v>-46</v>
      </c>
      <c r="F106" s="115">
        <v>-50</v>
      </c>
      <c r="G106" s="115">
        <v>-50</v>
      </c>
      <c r="H106" s="115">
        <v>-25.1</v>
      </c>
      <c r="I106" s="115">
        <v>-3.5</v>
      </c>
      <c r="J106" s="115">
        <v>15.5</v>
      </c>
      <c r="K106" s="115">
        <v>28.6</v>
      </c>
      <c r="L106" s="115">
        <v>42.3</v>
      </c>
      <c r="M106" s="115">
        <v>39.5</v>
      </c>
      <c r="N106" s="115">
        <v>-12.3</v>
      </c>
      <c r="O106" s="115">
        <v>-16.100000000000001</v>
      </c>
      <c r="P106" s="115">
        <v>5.2</v>
      </c>
      <c r="Q106" s="115">
        <v>13.1</v>
      </c>
      <c r="R106" s="115">
        <v>-7.5</v>
      </c>
      <c r="S106" s="115">
        <v>-7.8</v>
      </c>
      <c r="T106" s="115">
        <v>-16.2</v>
      </c>
      <c r="U106" s="115">
        <v>-12.6</v>
      </c>
      <c r="V106" s="115">
        <v>-12</v>
      </c>
      <c r="W106" s="115">
        <v>-1.3</v>
      </c>
      <c r="X106" s="115">
        <v>4.2</v>
      </c>
      <c r="Y106" s="115">
        <v>35</v>
      </c>
      <c r="Z106" s="115">
        <v>32</v>
      </c>
      <c r="AA106" s="115">
        <v>16</v>
      </c>
      <c r="AB106" s="115">
        <v>3</v>
      </c>
      <c r="AC106" s="115">
        <v>-22.7</v>
      </c>
      <c r="AD106" s="115">
        <v>-16.2</v>
      </c>
      <c r="AE106" s="115">
        <v>-20</v>
      </c>
      <c r="AF106" s="115">
        <v>-36.5</v>
      </c>
      <c r="AG106" s="114">
        <v>240</v>
      </c>
      <c r="AH106" s="47">
        <f t="shared" si="9"/>
        <v>42.3</v>
      </c>
      <c r="AI106" s="48">
        <f t="shared" si="10"/>
        <v>-50</v>
      </c>
    </row>
    <row r="107" spans="1:35" x14ac:dyDescent="0.25">
      <c r="A107" s="103" t="s">
        <v>115</v>
      </c>
      <c r="B107" s="115">
        <v>6</v>
      </c>
      <c r="C107" s="115">
        <v>2</v>
      </c>
      <c r="D107" s="115">
        <v>4</v>
      </c>
      <c r="E107" s="115">
        <v>4</v>
      </c>
      <c r="F107" s="115">
        <f>6.6+7.2</f>
        <v>13.8</v>
      </c>
      <c r="G107" s="115">
        <f t="shared" ref="G107" si="17">6.6+7.2</f>
        <v>13.8</v>
      </c>
      <c r="H107" s="115">
        <f>4.6+5.1</f>
        <v>9.6999999999999993</v>
      </c>
      <c r="I107" s="115">
        <f>7.1+7.5</f>
        <v>14.6</v>
      </c>
      <c r="J107" s="115">
        <f>5.7+6.1</f>
        <v>11.8</v>
      </c>
      <c r="K107" s="115">
        <f>-5+9.7</f>
        <v>4.6999999999999993</v>
      </c>
      <c r="L107" s="115">
        <f>-6.1+11.3</f>
        <v>5.2000000000000011</v>
      </c>
      <c r="M107" s="115">
        <v>13</v>
      </c>
      <c r="N107" s="115">
        <v>50</v>
      </c>
      <c r="O107" s="115">
        <v>37.799999999999997</v>
      </c>
      <c r="P107" s="115">
        <v>16.600000000000001</v>
      </c>
      <c r="Q107" s="115">
        <v>19</v>
      </c>
      <c r="R107" s="115">
        <v>28</v>
      </c>
      <c r="S107" s="115">
        <v>35</v>
      </c>
      <c r="T107" s="115">
        <v>37</v>
      </c>
      <c r="U107" s="115">
        <v>42</v>
      </c>
      <c r="V107" s="115">
        <v>48</v>
      </c>
      <c r="W107" s="115">
        <v>41</v>
      </c>
      <c r="X107" s="115">
        <v>51</v>
      </c>
      <c r="Y107" s="115">
        <v>48</v>
      </c>
      <c r="Z107" s="115">
        <v>50</v>
      </c>
      <c r="AA107" s="115">
        <v>55</v>
      </c>
      <c r="AB107" s="115">
        <v>20.8</v>
      </c>
      <c r="AC107" s="115">
        <v>44</v>
      </c>
      <c r="AD107" s="115">
        <v>42</v>
      </c>
      <c r="AE107" s="115">
        <f>13.6+11.5</f>
        <v>25.1</v>
      </c>
      <c r="AF107" s="115">
        <f>4.5+4.9</f>
        <v>9.4</v>
      </c>
      <c r="AG107" s="114">
        <v>240</v>
      </c>
      <c r="AH107" s="47">
        <f t="shared" si="9"/>
        <v>55</v>
      </c>
      <c r="AI107" s="48">
        <f t="shared" si="10"/>
        <v>2</v>
      </c>
    </row>
    <row r="108" spans="1:35" x14ac:dyDescent="0.25">
      <c r="A108" s="103" t="s">
        <v>116</v>
      </c>
      <c r="B108" s="115">
        <v>2.6</v>
      </c>
      <c r="C108" s="115">
        <v>1</v>
      </c>
      <c r="D108" s="115">
        <v>0</v>
      </c>
      <c r="E108" s="115">
        <v>0</v>
      </c>
      <c r="F108" s="115">
        <v>2.9</v>
      </c>
      <c r="G108" s="115">
        <v>2.9</v>
      </c>
      <c r="H108" s="115">
        <v>4</v>
      </c>
      <c r="I108" s="115">
        <v>3.4</v>
      </c>
      <c r="J108" s="115">
        <v>17.5</v>
      </c>
      <c r="K108" s="115">
        <v>39.200000000000003</v>
      </c>
      <c r="L108" s="115">
        <v>34.299999999999997</v>
      </c>
      <c r="M108" s="115">
        <v>48.7</v>
      </c>
      <c r="N108" s="115">
        <v>53.1</v>
      </c>
      <c r="O108" s="115">
        <v>45.2</v>
      </c>
      <c r="P108" s="115">
        <v>28</v>
      </c>
      <c r="Q108" s="115">
        <v>21.8</v>
      </c>
      <c r="R108" s="115">
        <v>22.3</v>
      </c>
      <c r="S108" s="115">
        <v>23</v>
      </c>
      <c r="T108" s="115">
        <v>40</v>
      </c>
      <c r="U108" s="115">
        <v>43.3</v>
      </c>
      <c r="V108" s="115">
        <v>40.6</v>
      </c>
      <c r="W108" s="115">
        <v>41.2</v>
      </c>
      <c r="X108" s="115">
        <v>48</v>
      </c>
      <c r="Y108" s="115">
        <v>55</v>
      </c>
      <c r="Z108" s="115">
        <v>55</v>
      </c>
      <c r="AA108" s="115">
        <v>55</v>
      </c>
      <c r="AB108" s="115">
        <v>50.8</v>
      </c>
      <c r="AC108" s="115">
        <v>40.6</v>
      </c>
      <c r="AD108" s="115">
        <v>26.1</v>
      </c>
      <c r="AE108" s="115">
        <v>8.3000000000000007</v>
      </c>
      <c r="AF108" s="115">
        <v>0</v>
      </c>
      <c r="AG108" s="114">
        <v>60</v>
      </c>
      <c r="AH108" s="47">
        <f t="shared" si="9"/>
        <v>55</v>
      </c>
      <c r="AI108" s="48">
        <f t="shared" si="10"/>
        <v>0</v>
      </c>
    </row>
    <row r="109" spans="1:35" x14ac:dyDescent="0.25">
      <c r="A109" s="116" t="s">
        <v>117</v>
      </c>
      <c r="B109" s="117">
        <v>92</v>
      </c>
      <c r="C109" s="117">
        <v>89</v>
      </c>
      <c r="D109" s="117">
        <v>92</v>
      </c>
      <c r="E109" s="117">
        <v>92</v>
      </c>
      <c r="F109" s="117">
        <v>96</v>
      </c>
      <c r="G109" s="117">
        <v>96</v>
      </c>
      <c r="H109" s="117">
        <v>92</v>
      </c>
      <c r="I109" s="117">
        <v>110</v>
      </c>
      <c r="J109" s="117">
        <v>110.1</v>
      </c>
      <c r="K109" s="117">
        <v>95</v>
      </c>
      <c r="L109" s="117">
        <v>91.4</v>
      </c>
      <c r="M109" s="117">
        <v>79.599999999999994</v>
      </c>
      <c r="N109" s="117">
        <v>110.3</v>
      </c>
      <c r="O109" s="117">
        <v>97.1</v>
      </c>
      <c r="P109" s="117">
        <v>106.5</v>
      </c>
      <c r="Q109" s="117">
        <v>102.6</v>
      </c>
      <c r="R109" s="117">
        <v>110.5</v>
      </c>
      <c r="S109" s="117">
        <v>113</v>
      </c>
      <c r="T109" s="117">
        <v>110</v>
      </c>
      <c r="U109" s="117">
        <v>103</v>
      </c>
      <c r="V109" s="117">
        <v>111</v>
      </c>
      <c r="W109" s="117">
        <v>109</v>
      </c>
      <c r="X109" s="117">
        <v>108</v>
      </c>
      <c r="Y109" s="117">
        <v>95</v>
      </c>
      <c r="Z109" s="117">
        <v>98</v>
      </c>
      <c r="AA109" s="117">
        <v>103</v>
      </c>
      <c r="AB109" s="117">
        <v>99.3</v>
      </c>
      <c r="AC109" s="117">
        <v>105.3</v>
      </c>
      <c r="AD109" s="117">
        <v>91.1</v>
      </c>
      <c r="AE109" s="117">
        <v>100</v>
      </c>
      <c r="AF109" s="117">
        <v>99.7</v>
      </c>
      <c r="AG109" s="118">
        <v>120</v>
      </c>
      <c r="AH109" s="47">
        <f t="shared" si="9"/>
        <v>113</v>
      </c>
      <c r="AI109" s="48">
        <f t="shared" si="10"/>
        <v>79.599999999999994</v>
      </c>
    </row>
    <row r="110" spans="1:35" x14ac:dyDescent="0.25">
      <c r="A110" s="116" t="s">
        <v>118</v>
      </c>
      <c r="B110" s="117">
        <v>82</v>
      </c>
      <c r="C110" s="117">
        <v>83</v>
      </c>
      <c r="D110" s="117">
        <v>86</v>
      </c>
      <c r="E110" s="117">
        <v>86</v>
      </c>
      <c r="F110" s="117">
        <v>92</v>
      </c>
      <c r="G110" s="117">
        <v>92</v>
      </c>
      <c r="H110" s="117">
        <v>82.4</v>
      </c>
      <c r="I110" s="117">
        <v>80</v>
      </c>
      <c r="J110" s="117">
        <v>72</v>
      </c>
      <c r="K110" s="117">
        <v>53.3</v>
      </c>
      <c r="L110" s="117">
        <v>55.3</v>
      </c>
      <c r="M110" s="117">
        <v>42.3</v>
      </c>
      <c r="N110" s="117">
        <v>86.3</v>
      </c>
      <c r="O110" s="117">
        <v>103.6</v>
      </c>
      <c r="P110" s="117">
        <v>76.900000000000006</v>
      </c>
      <c r="Q110" s="117">
        <v>71.900000000000006</v>
      </c>
      <c r="R110" s="117">
        <v>80.3</v>
      </c>
      <c r="S110" s="117">
        <v>77</v>
      </c>
      <c r="T110" s="117">
        <v>70</v>
      </c>
      <c r="U110" s="117">
        <v>84</v>
      </c>
      <c r="V110" s="117">
        <v>85</v>
      </c>
      <c r="W110" s="117">
        <v>79</v>
      </c>
      <c r="X110" s="117">
        <v>74</v>
      </c>
      <c r="Y110" s="117">
        <v>51</v>
      </c>
      <c r="Z110" s="117">
        <v>54</v>
      </c>
      <c r="AA110" s="117">
        <v>59</v>
      </c>
      <c r="AB110" s="117">
        <v>66.099999999999994</v>
      </c>
      <c r="AC110" s="117">
        <v>95.2</v>
      </c>
      <c r="AD110" s="117">
        <v>92.9</v>
      </c>
      <c r="AE110" s="117">
        <v>83.5</v>
      </c>
      <c r="AF110" s="117">
        <v>89.8</v>
      </c>
      <c r="AG110" s="118"/>
      <c r="AH110" s="47">
        <f t="shared" si="9"/>
        <v>103.6</v>
      </c>
      <c r="AI110" s="48">
        <f t="shared" si="10"/>
        <v>42.3</v>
      </c>
    </row>
    <row r="111" spans="1:35" x14ac:dyDescent="0.25">
      <c r="A111" s="116" t="s">
        <v>119</v>
      </c>
      <c r="B111" s="117">
        <v>100</v>
      </c>
      <c r="C111" s="117">
        <v>102</v>
      </c>
      <c r="D111" s="117">
        <v>105</v>
      </c>
      <c r="E111" s="117">
        <v>105</v>
      </c>
      <c r="F111" s="117">
        <v>100</v>
      </c>
      <c r="G111" s="117">
        <v>100</v>
      </c>
      <c r="H111" s="117"/>
      <c r="I111" s="117"/>
      <c r="J111" s="117"/>
      <c r="K111" s="117"/>
      <c r="L111" s="117"/>
      <c r="M111" s="117"/>
      <c r="N111" s="117">
        <v>48.6</v>
      </c>
      <c r="O111" s="117">
        <v>47.6</v>
      </c>
      <c r="P111" s="117">
        <v>34.9</v>
      </c>
      <c r="Q111" s="117">
        <v>29.3</v>
      </c>
      <c r="R111" s="117">
        <v>39.700000000000003</v>
      </c>
      <c r="S111" s="117">
        <v>44</v>
      </c>
      <c r="T111" s="117"/>
      <c r="U111" s="117">
        <v>46</v>
      </c>
      <c r="V111" s="117"/>
      <c r="W111" s="117">
        <v>39</v>
      </c>
      <c r="X111" s="117"/>
      <c r="Y111" s="117">
        <v>23</v>
      </c>
      <c r="Z111" s="117">
        <v>27</v>
      </c>
      <c r="AA111" s="117">
        <v>40</v>
      </c>
      <c r="AB111" s="117">
        <v>41.3</v>
      </c>
      <c r="AC111" s="117">
        <v>48.5</v>
      </c>
      <c r="AD111" s="117">
        <v>45.5</v>
      </c>
      <c r="AE111" s="117">
        <v>51.3</v>
      </c>
      <c r="AF111" s="117"/>
      <c r="AG111" s="119"/>
      <c r="AH111" s="47">
        <f t="shared" si="9"/>
        <v>105</v>
      </c>
      <c r="AI111" s="48">
        <f t="shared" si="10"/>
        <v>23</v>
      </c>
    </row>
    <row r="112" spans="1:35" x14ac:dyDescent="0.25">
      <c r="A112" s="120" t="s">
        <v>120</v>
      </c>
      <c r="B112" s="106">
        <v>5</v>
      </c>
      <c r="C112" s="106">
        <v>8</v>
      </c>
      <c r="D112" s="106">
        <v>8</v>
      </c>
      <c r="E112" s="106">
        <v>15.4</v>
      </c>
      <c r="F112" s="106">
        <v>14</v>
      </c>
      <c r="G112" s="106">
        <v>14</v>
      </c>
      <c r="H112" s="106">
        <v>-3.8</v>
      </c>
      <c r="I112" s="106">
        <v>-27.9</v>
      </c>
      <c r="J112" s="106">
        <v>-36.9</v>
      </c>
      <c r="K112" s="106">
        <v>-42.9</v>
      </c>
      <c r="L112" s="106">
        <v>-44.5</v>
      </c>
      <c r="M112" s="106">
        <v>43.3</v>
      </c>
      <c r="N112" s="106">
        <v>-38.200000000000003</v>
      </c>
      <c r="O112" s="106">
        <v>-34.200000000000003</v>
      </c>
      <c r="P112" s="106">
        <v>-25.9</v>
      </c>
      <c r="Q112" s="106">
        <v>-29.9</v>
      </c>
      <c r="R112" s="106">
        <v>-18.2</v>
      </c>
      <c r="S112" s="106">
        <v>-22</v>
      </c>
      <c r="T112" s="106">
        <v>-26.1</v>
      </c>
      <c r="U112" s="106">
        <v>-29.1</v>
      </c>
      <c r="V112" s="106">
        <v>-43</v>
      </c>
      <c r="W112" s="106">
        <v>-48</v>
      </c>
      <c r="X112" s="106">
        <v>-73</v>
      </c>
      <c r="Y112" s="106">
        <v>-65</v>
      </c>
      <c r="Z112" s="106">
        <v>-61</v>
      </c>
      <c r="AA112" s="106">
        <v>-55</v>
      </c>
      <c r="AB112" s="106">
        <v>-33.700000000000003</v>
      </c>
      <c r="AC112" s="106">
        <v>-30.2</v>
      </c>
      <c r="AD112" s="106">
        <v>-20.9</v>
      </c>
      <c r="AE112" s="106">
        <v>-10.4</v>
      </c>
      <c r="AF112" s="106">
        <v>-6.2</v>
      </c>
      <c r="AG112" s="119"/>
      <c r="AH112" s="47">
        <f t="shared" si="9"/>
        <v>43.3</v>
      </c>
      <c r="AI112" s="48">
        <f t="shared" si="10"/>
        <v>-73</v>
      </c>
    </row>
    <row r="113" spans="1:37" ht="15.75" thickBot="1" x14ac:dyDescent="0.3">
      <c r="A113" s="120" t="s">
        <v>121</v>
      </c>
      <c r="B113" s="106">
        <v>70</v>
      </c>
      <c r="C113" s="106">
        <v>61</v>
      </c>
      <c r="D113" s="106">
        <v>61</v>
      </c>
      <c r="E113" s="106">
        <v>61</v>
      </c>
      <c r="F113" s="106">
        <v>52.7</v>
      </c>
      <c r="G113" s="106">
        <v>52.7</v>
      </c>
      <c r="H113" s="106">
        <v>61</v>
      </c>
      <c r="I113" s="106">
        <v>69.400000000000006</v>
      </c>
      <c r="J113" s="106">
        <v>75.5</v>
      </c>
      <c r="K113" s="106">
        <v>61.7</v>
      </c>
      <c r="L113" s="106">
        <v>70.599999999999994</v>
      </c>
      <c r="M113" s="106">
        <v>84</v>
      </c>
      <c r="N113" s="106">
        <v>68.5</v>
      </c>
      <c r="O113" s="106">
        <v>66</v>
      </c>
      <c r="P113" s="106">
        <v>69.3</v>
      </c>
      <c r="Q113" s="106">
        <v>80.8</v>
      </c>
      <c r="R113" s="106">
        <v>73.2</v>
      </c>
      <c r="S113" s="106">
        <v>80</v>
      </c>
      <c r="T113" s="106">
        <v>83</v>
      </c>
      <c r="U113" s="106">
        <v>80</v>
      </c>
      <c r="V113" s="106">
        <v>80</v>
      </c>
      <c r="W113" s="106">
        <v>76</v>
      </c>
      <c r="X113" s="106">
        <v>77</v>
      </c>
      <c r="Y113" s="106">
        <v>83</v>
      </c>
      <c r="Z113" s="106">
        <v>79</v>
      </c>
      <c r="AA113" s="106">
        <v>72</v>
      </c>
      <c r="AB113" s="106">
        <v>61.6</v>
      </c>
      <c r="AC113" s="106">
        <v>59.9</v>
      </c>
      <c r="AD113" s="106">
        <v>55.1</v>
      </c>
      <c r="AE113" s="106">
        <v>76.8</v>
      </c>
      <c r="AF113" s="106">
        <v>64.5</v>
      </c>
      <c r="AG113" s="119"/>
      <c r="AH113" s="47">
        <f t="shared" si="9"/>
        <v>84</v>
      </c>
      <c r="AI113" s="48">
        <f t="shared" si="10"/>
        <v>52.7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8">SUM(B115:B219)</f>
        <v>0</v>
      </c>
      <c r="C220" s="136">
        <f t="shared" si="18"/>
        <v>0</v>
      </c>
      <c r="D220" s="136">
        <f t="shared" si="18"/>
        <v>0</v>
      </c>
      <c r="E220" s="136">
        <f t="shared" si="18"/>
        <v>0</v>
      </c>
      <c r="F220" s="136">
        <f t="shared" si="18"/>
        <v>0</v>
      </c>
      <c r="G220" s="136">
        <f t="shared" si="18"/>
        <v>0</v>
      </c>
      <c r="H220" s="136">
        <f t="shared" si="18"/>
        <v>0</v>
      </c>
      <c r="I220" s="136">
        <f t="shared" si="18"/>
        <v>0</v>
      </c>
      <c r="J220" s="136">
        <f t="shared" si="18"/>
        <v>0</v>
      </c>
      <c r="K220" s="136">
        <f t="shared" si="18"/>
        <v>0</v>
      </c>
      <c r="L220" s="136">
        <f t="shared" si="18"/>
        <v>0</v>
      </c>
      <c r="M220" s="136">
        <f t="shared" si="18"/>
        <v>0</v>
      </c>
      <c r="N220" s="136">
        <f t="shared" si="18"/>
        <v>0</v>
      </c>
      <c r="O220" s="136">
        <f t="shared" si="18"/>
        <v>0</v>
      </c>
      <c r="P220" s="136">
        <f t="shared" si="18"/>
        <v>0</v>
      </c>
      <c r="Q220" s="136">
        <f t="shared" si="18"/>
        <v>0</v>
      </c>
      <c r="R220" s="136">
        <f t="shared" si="18"/>
        <v>0</v>
      </c>
      <c r="S220" s="136">
        <f t="shared" si="18"/>
        <v>0</v>
      </c>
      <c r="T220" s="136">
        <f t="shared" si="18"/>
        <v>0</v>
      </c>
      <c r="U220" s="136">
        <f t="shared" si="18"/>
        <v>0</v>
      </c>
      <c r="V220" s="136">
        <f t="shared" si="18"/>
        <v>0</v>
      </c>
      <c r="W220" s="136">
        <f t="shared" si="18"/>
        <v>0</v>
      </c>
      <c r="X220" s="136">
        <f t="shared" si="18"/>
        <v>0</v>
      </c>
      <c r="Y220" s="136">
        <f t="shared" si="18"/>
        <v>0</v>
      </c>
      <c r="Z220" s="136">
        <f t="shared" si="18"/>
        <v>0</v>
      </c>
      <c r="AA220" s="136">
        <f t="shared" si="18"/>
        <v>0</v>
      </c>
      <c r="AB220" s="136">
        <f t="shared" si="18"/>
        <v>0</v>
      </c>
      <c r="AC220" s="136">
        <f t="shared" si="18"/>
        <v>0</v>
      </c>
      <c r="AD220" s="136">
        <f t="shared" si="18"/>
        <v>0</v>
      </c>
      <c r="AE220" s="136">
        <f t="shared" si="18"/>
        <v>0</v>
      </c>
      <c r="AF220" s="137">
        <f t="shared" si="18"/>
        <v>0</v>
      </c>
      <c r="AG220" s="138">
        <f t="shared" si="18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9">AF222</f>
        <v>0</v>
      </c>
      <c r="C222" s="140">
        <v>0.3</v>
      </c>
      <c r="D222" s="140">
        <f t="shared" ref="D222:P227" si="20">C222</f>
        <v>0.3</v>
      </c>
      <c r="E222" s="140">
        <f t="shared" si="20"/>
        <v>0.3</v>
      </c>
      <c r="F222" s="140">
        <f t="shared" si="20"/>
        <v>0.3</v>
      </c>
      <c r="G222" s="140">
        <f t="shared" si="20"/>
        <v>0.3</v>
      </c>
      <c r="H222" s="140">
        <f t="shared" si="20"/>
        <v>0.3</v>
      </c>
      <c r="I222" s="140">
        <f t="shared" si="20"/>
        <v>0.3</v>
      </c>
      <c r="J222" s="140">
        <f t="shared" si="20"/>
        <v>0.3</v>
      </c>
      <c r="K222" s="140">
        <f t="shared" si="20"/>
        <v>0.3</v>
      </c>
      <c r="L222" s="140">
        <f t="shared" si="20"/>
        <v>0.3</v>
      </c>
      <c r="M222" s="140">
        <f t="shared" si="20"/>
        <v>0.3</v>
      </c>
      <c r="N222" s="140">
        <f t="shared" si="20"/>
        <v>0.3</v>
      </c>
      <c r="O222" s="140">
        <f t="shared" si="20"/>
        <v>0.3</v>
      </c>
      <c r="P222" s="140">
        <f t="shared" si="20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9"/>
        <v>0</v>
      </c>
      <c r="C223" s="128">
        <v>0.4</v>
      </c>
      <c r="D223" s="128">
        <f t="shared" si="20"/>
        <v>0.4</v>
      </c>
      <c r="E223" s="128">
        <f t="shared" si="20"/>
        <v>0.4</v>
      </c>
      <c r="F223" s="128">
        <f t="shared" si="20"/>
        <v>0.4</v>
      </c>
      <c r="G223" s="128">
        <f t="shared" si="20"/>
        <v>0.4</v>
      </c>
      <c r="H223" s="128">
        <f t="shared" si="20"/>
        <v>0.4</v>
      </c>
      <c r="I223" s="128">
        <f t="shared" si="20"/>
        <v>0.4</v>
      </c>
      <c r="J223" s="128">
        <f t="shared" si="20"/>
        <v>0.4</v>
      </c>
      <c r="K223" s="128">
        <f t="shared" si="20"/>
        <v>0.4</v>
      </c>
      <c r="L223" s="128">
        <f t="shared" si="20"/>
        <v>0.4</v>
      </c>
      <c r="M223" s="128">
        <f t="shared" si="20"/>
        <v>0.4</v>
      </c>
      <c r="N223" s="128">
        <f t="shared" si="20"/>
        <v>0.4</v>
      </c>
      <c r="O223" s="128">
        <f t="shared" si="20"/>
        <v>0.4</v>
      </c>
      <c r="P223" s="128">
        <f t="shared" si="20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9"/>
        <v>0</v>
      </c>
      <c r="C224" s="128">
        <v>1.5</v>
      </c>
      <c r="D224" s="128">
        <f t="shared" si="20"/>
        <v>1.5</v>
      </c>
      <c r="E224" s="128">
        <f t="shared" si="20"/>
        <v>1.5</v>
      </c>
      <c r="F224" s="128">
        <f t="shared" si="20"/>
        <v>1.5</v>
      </c>
      <c r="G224" s="128">
        <f t="shared" si="20"/>
        <v>1.5</v>
      </c>
      <c r="H224" s="128">
        <f t="shared" si="20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0"/>
        <v>1.5</v>
      </c>
      <c r="K224" s="128">
        <f t="shared" ca="1" si="20"/>
        <v>1.5</v>
      </c>
      <c r="L224" s="128">
        <f t="shared" ca="1" si="20"/>
        <v>1.5</v>
      </c>
      <c r="M224" s="128">
        <f t="shared" ca="1" si="20"/>
        <v>1.5</v>
      </c>
      <c r="N224" s="128">
        <f t="shared" ca="1" si="20"/>
        <v>1.5</v>
      </c>
      <c r="O224" s="128">
        <f t="shared" ca="1" si="20"/>
        <v>1.5</v>
      </c>
      <c r="P224" s="128">
        <f t="shared" ca="1" si="20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9"/>
        <v>0</v>
      </c>
      <c r="C225" s="128">
        <v>0.3</v>
      </c>
      <c r="D225" s="128">
        <f t="shared" si="20"/>
        <v>0.3</v>
      </c>
      <c r="E225" s="128">
        <f t="shared" si="20"/>
        <v>0.3</v>
      </c>
      <c r="F225" s="128">
        <f t="shared" si="20"/>
        <v>0.3</v>
      </c>
      <c r="G225" s="128">
        <f t="shared" si="20"/>
        <v>0.3</v>
      </c>
      <c r="H225" s="128">
        <f t="shared" si="20"/>
        <v>0.3</v>
      </c>
      <c r="I225" s="128">
        <f t="shared" si="20"/>
        <v>0.3</v>
      </c>
      <c r="J225" s="128">
        <f t="shared" si="20"/>
        <v>0.3</v>
      </c>
      <c r="K225" s="128">
        <f t="shared" si="20"/>
        <v>0.3</v>
      </c>
      <c r="L225" s="128">
        <f t="shared" si="20"/>
        <v>0.3</v>
      </c>
      <c r="M225" s="128">
        <f t="shared" si="20"/>
        <v>0.3</v>
      </c>
      <c r="N225" s="128">
        <f t="shared" si="20"/>
        <v>0.3</v>
      </c>
      <c r="O225" s="128">
        <f t="shared" si="20"/>
        <v>0.3</v>
      </c>
      <c r="P225" s="128">
        <f t="shared" si="20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9"/>
        <v>0</v>
      </c>
      <c r="C226" s="128">
        <v>0.4</v>
      </c>
      <c r="D226" s="128">
        <f t="shared" si="20"/>
        <v>0.4</v>
      </c>
      <c r="E226" s="128">
        <f t="shared" si="20"/>
        <v>0.4</v>
      </c>
      <c r="F226" s="128">
        <f t="shared" si="20"/>
        <v>0.4</v>
      </c>
      <c r="G226" s="128">
        <f t="shared" si="20"/>
        <v>0.4</v>
      </c>
      <c r="H226" s="128">
        <f t="shared" si="20"/>
        <v>0.4</v>
      </c>
      <c r="I226" s="128">
        <f t="shared" si="20"/>
        <v>0.4</v>
      </c>
      <c r="J226" s="128">
        <f t="shared" si="20"/>
        <v>0.4</v>
      </c>
      <c r="K226" s="128">
        <f t="shared" si="20"/>
        <v>0.4</v>
      </c>
      <c r="L226" s="128">
        <f t="shared" si="20"/>
        <v>0.4</v>
      </c>
      <c r="M226" s="128">
        <f t="shared" si="20"/>
        <v>0.4</v>
      </c>
      <c r="N226" s="128">
        <f t="shared" si="20"/>
        <v>0.4</v>
      </c>
      <c r="O226" s="128">
        <f t="shared" si="20"/>
        <v>0.4</v>
      </c>
      <c r="P226" s="128">
        <f t="shared" si="20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9"/>
        <v>0</v>
      </c>
      <c r="C227" s="132">
        <v>0.64</v>
      </c>
      <c r="D227" s="132">
        <f t="shared" si="20"/>
        <v>0.64</v>
      </c>
      <c r="E227" s="132">
        <f t="shared" si="20"/>
        <v>0.64</v>
      </c>
      <c r="F227" s="132">
        <f t="shared" si="20"/>
        <v>0.64</v>
      </c>
      <c r="G227" s="132">
        <f t="shared" si="20"/>
        <v>0.64</v>
      </c>
      <c r="H227" s="132">
        <f t="shared" si="20"/>
        <v>0.64</v>
      </c>
      <c r="I227" s="132">
        <f t="shared" si="20"/>
        <v>0.64</v>
      </c>
      <c r="J227" s="132">
        <f t="shared" si="20"/>
        <v>0.64</v>
      </c>
      <c r="K227" s="132">
        <f t="shared" si="20"/>
        <v>0.64</v>
      </c>
      <c r="L227" s="132">
        <f t="shared" si="20"/>
        <v>0.64</v>
      </c>
      <c r="M227" s="132">
        <f t="shared" si="20"/>
        <v>0.64</v>
      </c>
      <c r="N227" s="132">
        <f t="shared" si="20"/>
        <v>0.64</v>
      </c>
      <c r="O227" s="132">
        <f t="shared" si="20"/>
        <v>0.64</v>
      </c>
      <c r="P227" s="132">
        <f t="shared" si="20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1">SUM(B222:B227)</f>
        <v>0</v>
      </c>
      <c r="C228" s="136">
        <f t="shared" si="21"/>
        <v>3.54</v>
      </c>
      <c r="D228" s="136">
        <f t="shared" si="21"/>
        <v>3.54</v>
      </c>
      <c r="E228" s="136">
        <f t="shared" si="21"/>
        <v>3.54</v>
      </c>
      <c r="F228" s="136">
        <f t="shared" si="21"/>
        <v>3.54</v>
      </c>
      <c r="G228" s="136">
        <f t="shared" si="21"/>
        <v>3.54</v>
      </c>
      <c r="H228" s="136">
        <f t="shared" si="21"/>
        <v>3.54</v>
      </c>
      <c r="I228" s="136">
        <f t="shared" ca="1" si="21"/>
        <v>3.54</v>
      </c>
      <c r="J228" s="136">
        <f t="shared" ca="1" si="21"/>
        <v>3.54</v>
      </c>
      <c r="K228" s="136">
        <f t="shared" ca="1" si="21"/>
        <v>3.54</v>
      </c>
      <c r="L228" s="136">
        <f t="shared" ca="1" si="21"/>
        <v>3.54</v>
      </c>
      <c r="M228" s="136">
        <f t="shared" ca="1" si="21"/>
        <v>3.54</v>
      </c>
      <c r="N228" s="136">
        <f t="shared" ca="1" si="21"/>
        <v>3.54</v>
      </c>
      <c r="O228" s="136">
        <f t="shared" ca="1" si="21"/>
        <v>3.54</v>
      </c>
      <c r="P228" s="136">
        <f t="shared" ca="1" si="21"/>
        <v>3.54</v>
      </c>
      <c r="Q228" s="136">
        <f t="shared" si="21"/>
        <v>0</v>
      </c>
      <c r="R228" s="136">
        <f t="shared" si="21"/>
        <v>0</v>
      </c>
      <c r="S228" s="136">
        <f t="shared" si="21"/>
        <v>0</v>
      </c>
      <c r="T228" s="136">
        <f t="shared" si="21"/>
        <v>0</v>
      </c>
      <c r="U228" s="136">
        <f t="shared" si="21"/>
        <v>0</v>
      </c>
      <c r="V228" s="136">
        <f t="shared" si="21"/>
        <v>0</v>
      </c>
      <c r="W228" s="136">
        <f t="shared" si="21"/>
        <v>0</v>
      </c>
      <c r="X228" s="136">
        <f t="shared" si="21"/>
        <v>0</v>
      </c>
      <c r="Y228" s="136">
        <f t="shared" si="21"/>
        <v>0</v>
      </c>
      <c r="Z228" s="136">
        <f t="shared" si="21"/>
        <v>0</v>
      </c>
      <c r="AA228" s="136">
        <f t="shared" si="21"/>
        <v>0</v>
      </c>
      <c r="AB228" s="136">
        <f t="shared" si="21"/>
        <v>0</v>
      </c>
      <c r="AC228" s="136">
        <f t="shared" si="21"/>
        <v>0</v>
      </c>
      <c r="AD228" s="136">
        <f t="shared" si="21"/>
        <v>0</v>
      </c>
      <c r="AE228" s="136">
        <f t="shared" si="21"/>
        <v>0</v>
      </c>
      <c r="AF228" s="136">
        <f t="shared" si="21"/>
        <v>0</v>
      </c>
      <c r="AG228" s="145">
        <f t="shared" si="21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1441.89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2079/11/12)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2079/11/12)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2">B85</f>
        <v>1059.0899999999999</v>
      </c>
      <c r="U242" s="170">
        <f t="shared" si="22"/>
        <v>1030.0899999999999</v>
      </c>
      <c r="V242" s="170">
        <f t="shared" si="22"/>
        <v>1020.0899999999999</v>
      </c>
      <c r="W242" s="170">
        <f t="shared" si="22"/>
        <v>1015.0899999999999</v>
      </c>
      <c r="X242" s="170">
        <f t="shared" si="22"/>
        <v>1025.0899999999999</v>
      </c>
      <c r="Y242" s="170">
        <f t="shared" si="22"/>
        <v>1038.0899999999999</v>
      </c>
      <c r="Z242" s="170">
        <f t="shared" si="22"/>
        <v>1123.4899999999998</v>
      </c>
      <c r="AA242" s="170">
        <f t="shared" si="22"/>
        <v>1223.69</v>
      </c>
      <c r="AB242" s="170">
        <f t="shared" si="22"/>
        <v>1303.79</v>
      </c>
      <c r="AC242" s="170">
        <f t="shared" si="22"/>
        <v>1302.69</v>
      </c>
      <c r="AD242" s="170">
        <f t="shared" si="22"/>
        <v>1405.29</v>
      </c>
      <c r="AE242" s="170">
        <f t="shared" si="22"/>
        <v>1441.89</v>
      </c>
      <c r="AF242" s="170">
        <f t="shared" si="22"/>
        <v>1394.3899999999999</v>
      </c>
      <c r="AG242" s="170">
        <f t="shared" si="22"/>
        <v>1382.69</v>
      </c>
      <c r="AH242" s="170">
        <f t="shared" si="22"/>
        <v>1243.0899999999999</v>
      </c>
      <c r="AI242" s="170">
        <f t="shared" si="22"/>
        <v>1281.6899999999998</v>
      </c>
      <c r="AJ242" s="170">
        <f t="shared" si="22"/>
        <v>1239.0899999999999</v>
      </c>
      <c r="AK242" s="170">
        <f t="shared" si="22"/>
        <v>1197.3899999999999</v>
      </c>
      <c r="AL242" s="170">
        <f t="shared" si="22"/>
        <v>1230.69</v>
      </c>
      <c r="AM242" s="170">
        <f t="shared" si="22"/>
        <v>1257.4899999999998</v>
      </c>
      <c r="AN242" s="170">
        <f t="shared" si="22"/>
        <v>1267.19</v>
      </c>
      <c r="AO242" s="170">
        <f t="shared" si="22"/>
        <v>1340.5900000000001</v>
      </c>
      <c r="AP242" s="170">
        <f t="shared" si="22"/>
        <v>1416.19</v>
      </c>
      <c r="AQ242" s="170">
        <f t="shared" si="22"/>
        <v>1565.79</v>
      </c>
      <c r="AR242" s="170">
        <f t="shared" si="22"/>
        <v>1540.79</v>
      </c>
      <c r="AS242" s="170">
        <f t="shared" si="22"/>
        <v>1497.59</v>
      </c>
      <c r="AT242" s="170">
        <f t="shared" si="22"/>
        <v>1379.59</v>
      </c>
      <c r="AU242" s="170">
        <f t="shared" si="22"/>
        <v>1316.29</v>
      </c>
      <c r="AV242" s="170">
        <f t="shared" si="22"/>
        <v>1194.49</v>
      </c>
      <c r="AW242" s="170">
        <f t="shared" si="22"/>
        <v>1073.8900000000001</v>
      </c>
      <c r="AX242" s="170">
        <f t="shared" si="22"/>
        <v>1038.0900000000001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3">C227</f>
        <v>0.64</v>
      </c>
      <c r="C263" s="173">
        <f t="shared" si="23"/>
        <v>0.64</v>
      </c>
      <c r="D263" s="173">
        <f t="shared" si="23"/>
        <v>0.64</v>
      </c>
      <c r="E263" s="173">
        <f t="shared" si="23"/>
        <v>0.64</v>
      </c>
      <c r="F263" s="173">
        <f t="shared" si="23"/>
        <v>0.64</v>
      </c>
      <c r="G263" s="173">
        <f t="shared" si="23"/>
        <v>0.64</v>
      </c>
      <c r="H263" s="173">
        <f t="shared" si="23"/>
        <v>0.64</v>
      </c>
      <c r="I263" s="173">
        <f t="shared" si="23"/>
        <v>0.64</v>
      </c>
      <c r="J263" s="173">
        <f t="shared" si="23"/>
        <v>0.64</v>
      </c>
      <c r="K263" s="173">
        <f t="shared" si="23"/>
        <v>0.64</v>
      </c>
      <c r="L263" s="173">
        <f t="shared" si="23"/>
        <v>0.64</v>
      </c>
      <c r="M263" s="173">
        <f t="shared" si="23"/>
        <v>0.64</v>
      </c>
      <c r="N263" s="173">
        <f t="shared" si="23"/>
        <v>0.64</v>
      </c>
      <c r="O263" s="173">
        <f t="shared" si="23"/>
        <v>0.64</v>
      </c>
      <c r="P263" s="173">
        <f t="shared" si="23"/>
        <v>0</v>
      </c>
      <c r="Q263" s="173">
        <f t="shared" si="23"/>
        <v>0</v>
      </c>
      <c r="R263" s="173">
        <f t="shared" si="23"/>
        <v>0</v>
      </c>
      <c r="S263" s="173">
        <f t="shared" si="23"/>
        <v>0</v>
      </c>
      <c r="T263" s="173">
        <f t="shared" si="23"/>
        <v>0</v>
      </c>
      <c r="U263" s="173">
        <f t="shared" si="23"/>
        <v>0</v>
      </c>
      <c r="V263" s="173">
        <f t="shared" si="23"/>
        <v>0</v>
      </c>
      <c r="W263" s="173">
        <f t="shared" si="23"/>
        <v>0</v>
      </c>
      <c r="X263" s="173">
        <f t="shared" si="23"/>
        <v>0</v>
      </c>
      <c r="Y263" s="173">
        <f t="shared" si="23"/>
        <v>0</v>
      </c>
      <c r="Z263" s="173">
        <f t="shared" si="23"/>
        <v>0</v>
      </c>
      <c r="AA263" s="173">
        <f t="shared" si="23"/>
        <v>0</v>
      </c>
      <c r="AB263" s="173">
        <f t="shared" si="23"/>
        <v>0</v>
      </c>
      <c r="AC263" s="173">
        <f t="shared" si="23"/>
        <v>0</v>
      </c>
      <c r="AD263" s="173">
        <f t="shared" si="23"/>
        <v>0</v>
      </c>
      <c r="AE263" s="173">
        <f t="shared" si="23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4">IF(B231&lt;100,"",B231-520)</f>
        <v/>
      </c>
      <c r="C264" s="174" t="str">
        <f t="shared" si="24"/>
        <v/>
      </c>
      <c r="D264" s="174" t="str">
        <f t="shared" si="24"/>
        <v/>
      </c>
      <c r="E264" s="174" t="str">
        <f t="shared" si="24"/>
        <v/>
      </c>
      <c r="F264" s="174" t="str">
        <f t="shared" si="24"/>
        <v/>
      </c>
      <c r="G264" s="174" t="str">
        <f t="shared" si="24"/>
        <v/>
      </c>
      <c r="H264" s="174" t="str">
        <f t="shared" si="24"/>
        <v/>
      </c>
      <c r="I264" s="174" t="str">
        <f t="shared" si="24"/>
        <v/>
      </c>
      <c r="J264" s="174" t="str">
        <f t="shared" si="24"/>
        <v/>
      </c>
      <c r="K264" s="174" t="str">
        <f t="shared" si="24"/>
        <v/>
      </c>
      <c r="L264" s="174" t="str">
        <f t="shared" si="24"/>
        <v/>
      </c>
      <c r="M264" s="174" t="str">
        <f t="shared" si="24"/>
        <v/>
      </c>
      <c r="N264" s="174" t="str">
        <f t="shared" si="24"/>
        <v/>
      </c>
      <c r="O264" s="174" t="str">
        <f t="shared" si="24"/>
        <v/>
      </c>
      <c r="P264" s="174" t="str">
        <f t="shared" si="24"/>
        <v/>
      </c>
      <c r="Q264" s="174" t="str">
        <f t="shared" si="24"/>
        <v/>
      </c>
      <c r="R264" s="174" t="str">
        <f t="shared" si="24"/>
        <v/>
      </c>
      <c r="S264" s="174" t="str">
        <f t="shared" si="24"/>
        <v/>
      </c>
      <c r="T264" s="174" t="str">
        <f t="shared" si="24"/>
        <v/>
      </c>
      <c r="U264" s="174" t="str">
        <f t="shared" si="24"/>
        <v/>
      </c>
      <c r="V264" s="174" t="str">
        <f t="shared" si="24"/>
        <v/>
      </c>
      <c r="W264" s="174" t="str">
        <f t="shared" si="24"/>
        <v/>
      </c>
      <c r="X264" s="174" t="str">
        <f t="shared" si="24"/>
        <v/>
      </c>
      <c r="Y264" s="174" t="str">
        <f t="shared" si="24"/>
        <v/>
      </c>
      <c r="Z264" s="174" t="str">
        <f t="shared" si="24"/>
        <v/>
      </c>
      <c r="AA264" s="174" t="str">
        <f t="shared" si="24"/>
        <v/>
      </c>
      <c r="AB264" s="174" t="str">
        <f t="shared" si="24"/>
        <v/>
      </c>
      <c r="AC264" s="174" t="str">
        <f t="shared" si="24"/>
        <v/>
      </c>
      <c r="AD264" s="174" t="str">
        <f t="shared" si="24"/>
        <v/>
      </c>
      <c r="AE264" s="174" t="str">
        <f t="shared" si="24"/>
        <v/>
      </c>
      <c r="AF264" s="174" t="str">
        <f t="shared" si="24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5">IF(B232&lt;100,"",B232-620)</f>
        <v/>
      </c>
      <c r="C265" s="174" t="str">
        <f t="shared" si="25"/>
        <v/>
      </c>
      <c r="D265" s="174" t="str">
        <f t="shared" si="25"/>
        <v/>
      </c>
      <c r="E265" s="174" t="str">
        <f t="shared" si="25"/>
        <v/>
      </c>
      <c r="F265" s="174" t="str">
        <f t="shared" si="25"/>
        <v/>
      </c>
      <c r="G265" s="174" t="str">
        <f t="shared" si="25"/>
        <v/>
      </c>
      <c r="H265" s="174" t="str">
        <f t="shared" si="25"/>
        <v/>
      </c>
      <c r="I265" s="174" t="str">
        <f t="shared" si="25"/>
        <v/>
      </c>
      <c r="J265" s="174" t="str">
        <f t="shared" si="25"/>
        <v/>
      </c>
      <c r="K265" s="174" t="str">
        <f t="shared" si="25"/>
        <v/>
      </c>
      <c r="L265" s="174" t="str">
        <f t="shared" si="25"/>
        <v/>
      </c>
      <c r="M265" s="174" t="str">
        <f t="shared" si="25"/>
        <v/>
      </c>
      <c r="N265" s="174" t="str">
        <f t="shared" si="25"/>
        <v/>
      </c>
      <c r="O265" s="174" t="str">
        <f t="shared" si="25"/>
        <v/>
      </c>
      <c r="P265" s="174" t="str">
        <f t="shared" si="25"/>
        <v/>
      </c>
      <c r="Q265" s="174" t="str">
        <f t="shared" si="25"/>
        <v/>
      </c>
      <c r="R265" s="174" t="str">
        <f t="shared" si="25"/>
        <v/>
      </c>
      <c r="S265" s="174" t="str">
        <f t="shared" si="25"/>
        <v/>
      </c>
      <c r="T265" s="174" t="str">
        <f t="shared" si="25"/>
        <v/>
      </c>
      <c r="U265" s="174" t="str">
        <f t="shared" si="25"/>
        <v/>
      </c>
      <c r="V265" s="174" t="str">
        <f t="shared" si="25"/>
        <v/>
      </c>
      <c r="W265" s="174" t="str">
        <f t="shared" si="25"/>
        <v/>
      </c>
      <c r="X265" s="174" t="str">
        <f t="shared" si="25"/>
        <v/>
      </c>
      <c r="Y265" s="174" t="str">
        <f t="shared" si="25"/>
        <v/>
      </c>
      <c r="Z265" s="174" t="str">
        <f t="shared" si="25"/>
        <v/>
      </c>
      <c r="AA265" s="174" t="str">
        <f t="shared" si="25"/>
        <v/>
      </c>
      <c r="AB265" s="174" t="str">
        <f t="shared" si="25"/>
        <v/>
      </c>
      <c r="AC265" s="174" t="str">
        <f t="shared" si="25"/>
        <v/>
      </c>
      <c r="AD265" s="174" t="str">
        <f t="shared" si="25"/>
        <v/>
      </c>
      <c r="AE265" s="174" t="str">
        <f t="shared" si="25"/>
        <v/>
      </c>
      <c r="AF265" s="174" t="str">
        <f t="shared" si="25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6">IF(B233&lt;100,"",B233-330)</f>
        <v/>
      </c>
      <c r="C266" s="174" t="str">
        <f t="shared" si="26"/>
        <v/>
      </c>
      <c r="D266" s="174" t="str">
        <f t="shared" si="26"/>
        <v/>
      </c>
      <c r="E266" s="174" t="str">
        <f t="shared" si="26"/>
        <v/>
      </c>
      <c r="F266" s="174" t="str">
        <f t="shared" si="26"/>
        <v/>
      </c>
      <c r="G266" s="174" t="str">
        <f t="shared" si="26"/>
        <v/>
      </c>
      <c r="H266" s="174" t="str">
        <f t="shared" si="26"/>
        <v/>
      </c>
      <c r="I266" s="174" t="str">
        <f t="shared" si="26"/>
        <v/>
      </c>
      <c r="J266" s="174" t="str">
        <f t="shared" si="26"/>
        <v/>
      </c>
      <c r="K266" s="174" t="str">
        <f t="shared" si="26"/>
        <v/>
      </c>
      <c r="L266" s="174" t="str">
        <f t="shared" si="26"/>
        <v/>
      </c>
      <c r="M266" s="174" t="str">
        <f t="shared" si="26"/>
        <v/>
      </c>
      <c r="N266" s="174" t="str">
        <f t="shared" si="26"/>
        <v/>
      </c>
      <c r="O266" s="174" t="str">
        <f t="shared" si="26"/>
        <v/>
      </c>
      <c r="P266" s="174" t="str">
        <f t="shared" si="26"/>
        <v/>
      </c>
      <c r="Q266" s="174" t="str">
        <f t="shared" si="26"/>
        <v/>
      </c>
      <c r="R266" s="174" t="str">
        <f t="shared" si="26"/>
        <v/>
      </c>
      <c r="S266" s="174" t="str">
        <f t="shared" si="26"/>
        <v/>
      </c>
      <c r="T266" s="174" t="str">
        <f t="shared" si="26"/>
        <v/>
      </c>
      <c r="U266" s="174" t="str">
        <f t="shared" si="26"/>
        <v/>
      </c>
      <c r="V266" s="174" t="str">
        <f t="shared" si="26"/>
        <v/>
      </c>
      <c r="W266" s="174" t="str">
        <f t="shared" si="26"/>
        <v/>
      </c>
      <c r="X266" s="174" t="str">
        <f t="shared" si="26"/>
        <v/>
      </c>
      <c r="Y266" s="174" t="str">
        <f t="shared" si="26"/>
        <v/>
      </c>
      <c r="Z266" s="174" t="str">
        <f t="shared" si="26"/>
        <v/>
      </c>
      <c r="AA266" s="174" t="str">
        <f t="shared" si="26"/>
        <v/>
      </c>
      <c r="AB266" s="174" t="str">
        <f t="shared" si="26"/>
        <v/>
      </c>
      <c r="AC266" s="174" t="str">
        <f t="shared" si="26"/>
        <v/>
      </c>
      <c r="AD266" s="174" t="str">
        <f t="shared" si="26"/>
        <v/>
      </c>
      <c r="AE266" s="174" t="str">
        <f t="shared" si="26"/>
        <v/>
      </c>
      <c r="AF266" s="174" t="str">
        <f t="shared" si="26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7">IF(B234&lt;100,"",B234-1500)</f>
        <v/>
      </c>
      <c r="C267" s="174" t="str">
        <f t="shared" si="27"/>
        <v/>
      </c>
      <c r="D267" s="174" t="str">
        <f t="shared" si="27"/>
        <v/>
      </c>
      <c r="E267" s="174" t="str">
        <f t="shared" si="27"/>
        <v/>
      </c>
      <c r="F267" s="174" t="str">
        <f t="shared" si="27"/>
        <v/>
      </c>
      <c r="G267" s="174" t="str">
        <f t="shared" si="27"/>
        <v/>
      </c>
      <c r="H267" s="174" t="str">
        <f t="shared" si="27"/>
        <v/>
      </c>
      <c r="I267" s="174" t="str">
        <f t="shared" si="27"/>
        <v/>
      </c>
      <c r="J267" s="174" t="str">
        <f t="shared" si="27"/>
        <v/>
      </c>
      <c r="K267" s="174" t="str">
        <f t="shared" si="27"/>
        <v/>
      </c>
      <c r="L267" s="174" t="str">
        <f t="shared" si="27"/>
        <v/>
      </c>
      <c r="M267" s="174" t="str">
        <f t="shared" si="27"/>
        <v/>
      </c>
      <c r="N267" s="174" t="str">
        <f t="shared" si="27"/>
        <v/>
      </c>
      <c r="O267" s="174" t="str">
        <f t="shared" si="27"/>
        <v/>
      </c>
      <c r="P267" s="174" t="str">
        <f t="shared" si="27"/>
        <v/>
      </c>
      <c r="Q267" s="174" t="str">
        <f t="shared" si="27"/>
        <v/>
      </c>
      <c r="R267" s="174" t="str">
        <f t="shared" si="27"/>
        <v/>
      </c>
      <c r="S267" s="174" t="str">
        <f t="shared" si="27"/>
        <v/>
      </c>
      <c r="T267" s="174" t="str">
        <f t="shared" si="27"/>
        <v/>
      </c>
      <c r="U267" s="174" t="str">
        <f t="shared" si="27"/>
        <v/>
      </c>
      <c r="V267" s="174" t="str">
        <f t="shared" si="27"/>
        <v/>
      </c>
      <c r="W267" s="174" t="str">
        <f t="shared" si="27"/>
        <v/>
      </c>
      <c r="X267" s="174" t="str">
        <f t="shared" si="27"/>
        <v/>
      </c>
      <c r="Y267" s="174" t="str">
        <f t="shared" si="27"/>
        <v/>
      </c>
      <c r="Z267" s="174" t="str">
        <f t="shared" si="27"/>
        <v/>
      </c>
      <c r="AA267" s="174" t="str">
        <f t="shared" si="27"/>
        <v/>
      </c>
      <c r="AB267" s="174" t="str">
        <f t="shared" si="27"/>
        <v/>
      </c>
      <c r="AC267" s="174" t="str">
        <f t="shared" si="27"/>
        <v/>
      </c>
      <c r="AD267" s="174" t="str">
        <f t="shared" si="27"/>
        <v/>
      </c>
      <c r="AE267" s="174" t="str">
        <f t="shared" si="27"/>
        <v/>
      </c>
      <c r="AF267" s="174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I105:AF105 I107:AF112 Y11:AF41">
    <cfRule type="expression" dxfId="8165" priority="234">
      <formula>B$9&gt;=20/24</formula>
    </cfRule>
    <cfRule type="expression" dxfId="8164" priority="235">
      <formula>AND(B$9&gt;=14/24,B$9&lt;20/24)</formula>
    </cfRule>
    <cfRule type="expression" dxfId="8163" priority="236">
      <formula>AND(B$9&gt;=8/24,B$9&lt;14/24)</formula>
    </cfRule>
    <cfRule type="expression" dxfId="8162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8161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8160" priority="231">
      <formula>$AH11=0</formula>
    </cfRule>
  </conditionalFormatting>
  <conditionalFormatting sqref="A110">
    <cfRule type="expression" dxfId="8159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8158" priority="228">
      <formula>$AH41=0</formula>
    </cfRule>
  </conditionalFormatting>
  <conditionalFormatting sqref="A94">
    <cfRule type="expression" dxfId="8157" priority="227">
      <formula>$AH94=0</formula>
    </cfRule>
  </conditionalFormatting>
  <conditionalFormatting sqref="A16">
    <cfRule type="expression" dxfId="8156" priority="226">
      <formula>$AH16=0</formula>
    </cfRule>
  </conditionalFormatting>
  <conditionalFormatting sqref="A192:A197">
    <cfRule type="expression" dxfId="8155" priority="225">
      <formula>$AH192=0</formula>
    </cfRule>
  </conditionalFormatting>
  <conditionalFormatting sqref="A186:A191">
    <cfRule type="expression" dxfId="8154" priority="224">
      <formula>$AH186=0</formula>
    </cfRule>
  </conditionalFormatting>
  <conditionalFormatting sqref="A54">
    <cfRule type="expression" dxfId="8153" priority="223">
      <formula>$AH54=0</formula>
    </cfRule>
  </conditionalFormatting>
  <conditionalFormatting sqref="A90">
    <cfRule type="expression" dxfId="8152" priority="222">
      <formula>$AH90=0</formula>
    </cfRule>
  </conditionalFormatting>
  <conditionalFormatting sqref="AD95:AF95 I95:X95">
    <cfRule type="expression" dxfId="8151" priority="218">
      <formula>I$9&gt;=20/24</formula>
    </cfRule>
    <cfRule type="expression" dxfId="8150" priority="219">
      <formula>AND(I$9&gt;=14/24,I$9&lt;20/24)</formula>
    </cfRule>
    <cfRule type="expression" dxfId="8149" priority="220">
      <formula>AND(I$9&gt;=8/24,I$9&lt;14/24)</formula>
    </cfRule>
    <cfRule type="expression" dxfId="8148" priority="221">
      <formula>I$9&lt;8/24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147" priority="240">
      <formula>C$9&gt;=20/24</formula>
    </cfRule>
    <cfRule type="expression" dxfId="8146" priority="241">
      <formula>AND(C$9&gt;=14/24,C$9&lt;20/24)</formula>
    </cfRule>
    <cfRule type="expression" dxfId="8145" priority="242">
      <formula>AND(C$9&gt;=8/24,C$9&lt;14/24)</formula>
    </cfRule>
    <cfRule type="expression" dxfId="8144" priority="243">
      <formula>C$9&lt;8/24</formula>
    </cfRule>
  </conditionalFormatting>
  <conditionalFormatting sqref="A229">
    <cfRule type="expression" dxfId="8143" priority="244">
      <formula>$AH229=0</formula>
    </cfRule>
  </conditionalFormatting>
  <conditionalFormatting sqref="AG241">
    <cfRule type="expression" dxfId="8142" priority="245">
      <formula>B$9&gt;=20/24</formula>
    </cfRule>
    <cfRule type="expression" dxfId="8141" priority="246">
      <formula>AND(B$9&gt;=14/24,B$9&lt;20/24)</formula>
    </cfRule>
    <cfRule type="expression" dxfId="8140" priority="247">
      <formula>AND(B$9&gt;=8/24,B$9&lt;14/24)</formula>
    </cfRule>
    <cfRule type="expression" dxfId="8139" priority="248">
      <formula>B$9&lt;8/24</formula>
    </cfRule>
  </conditionalFormatting>
  <conditionalFormatting sqref="S8">
    <cfRule type="expression" dxfId="8138" priority="213">
      <formula>U$9&gt;=20/24</formula>
    </cfRule>
    <cfRule type="expression" dxfId="8137" priority="214">
      <formula>AND(U$9&gt;=14/24,U$9&lt;20/24)</formula>
    </cfRule>
    <cfRule type="expression" dxfId="8136" priority="215">
      <formula>AND(U$9&gt;=8/24,U$9&lt;14/24)</formula>
    </cfRule>
    <cfRule type="expression" dxfId="8135" priority="216">
      <formula>U$9&lt;8/24</formula>
    </cfRule>
  </conditionalFormatting>
  <conditionalFormatting sqref="AB8">
    <cfRule type="expression" dxfId="8134" priority="209">
      <formula>AD$9&gt;=20/24</formula>
    </cfRule>
    <cfRule type="expression" dxfId="8133" priority="210">
      <formula>AND(AD$9&gt;=14/24,AD$9&lt;20/24)</formula>
    </cfRule>
    <cfRule type="expression" dxfId="8132" priority="211">
      <formula>AND(AD$9&gt;=8/24,AD$9&lt;14/24)</formula>
    </cfRule>
    <cfRule type="expression" dxfId="8131" priority="212">
      <formula>AD$9&lt;8/24</formula>
    </cfRule>
  </conditionalFormatting>
  <conditionalFormatting sqref="AH241:AX241">
    <cfRule type="expression" dxfId="8130" priority="249">
      <formula>AG$9&gt;=20/24</formula>
    </cfRule>
    <cfRule type="expression" dxfId="8129" priority="250">
      <formula>AND(AG$9&gt;=14/24,AG$9&lt;20/24)</formula>
    </cfRule>
    <cfRule type="expression" dxfId="8128" priority="251">
      <formula>AND(AG$9&gt;=8/24,AG$9&lt;14/24)</formula>
    </cfRule>
    <cfRule type="expression" dxfId="8127" priority="252">
      <formula>AG$9&lt;8/24</formula>
    </cfRule>
  </conditionalFormatting>
  <conditionalFormatting sqref="T241">
    <cfRule type="expression" dxfId="8126" priority="253">
      <formula>AX$9&gt;=20/24</formula>
    </cfRule>
    <cfRule type="expression" dxfId="8125" priority="254">
      <formula>AND(AX$9&gt;=14/24,AX$9&lt;20/24)</formula>
    </cfRule>
    <cfRule type="expression" dxfId="8124" priority="255">
      <formula>AND(AX$9&gt;=8/24,AX$9&lt;14/24)</formula>
    </cfRule>
    <cfRule type="expression" dxfId="8123" priority="256">
      <formula>AX$9&lt;8/24</formula>
    </cfRule>
  </conditionalFormatting>
  <conditionalFormatting sqref="A111:A112">
    <cfRule type="expression" dxfId="8122" priority="208">
      <formula>$AH111=0</formula>
    </cfRule>
  </conditionalFormatting>
  <conditionalFormatting sqref="M50:Q54 R54:V54 M56:X56 AC50:AF53 M67:AF67 W52:AB53">
    <cfRule type="expression" dxfId="8121" priority="204">
      <formula>M$9&gt;=20/24</formula>
    </cfRule>
    <cfRule type="expression" dxfId="8120" priority="205">
      <formula>AND(M$9&gt;=14/24,M$9&lt;20/24)</formula>
    </cfRule>
    <cfRule type="expression" dxfId="8119" priority="206">
      <formula>AND(M$9&gt;=8/24,M$9&lt;14/24)</formula>
    </cfRule>
    <cfRule type="expression" dxfId="8118" priority="207">
      <formula>M$9&lt;8/24</formula>
    </cfRule>
  </conditionalFormatting>
  <conditionalFormatting sqref="M49:Q49 AC49:AF49">
    <cfRule type="expression" dxfId="8117" priority="200">
      <formula>M$9&gt;=20/24</formula>
    </cfRule>
    <cfRule type="expression" dxfId="8116" priority="201">
      <formula>AND(M$9&gt;=14/24,M$9&lt;20/24)</formula>
    </cfRule>
    <cfRule type="expression" dxfId="8115" priority="202">
      <formula>AND(M$9&gt;=8/24,M$9&lt;14/24)</formula>
    </cfRule>
    <cfRule type="expression" dxfId="8114" priority="203">
      <formula>M$9&lt;8/24</formula>
    </cfRule>
  </conditionalFormatting>
  <conditionalFormatting sqref="M49:Q54 R54:V54 M56:X56 AC49:AF53 W52:AB53">
    <cfRule type="expression" dxfId="8113" priority="199">
      <formula>M49&gt;$AG49</formula>
    </cfRule>
  </conditionalFormatting>
  <conditionalFormatting sqref="D82:AF82 M96:X102 X92:AF92 AD96:AF102 X63:AF65 M68:AF69 Y70:AF70 X43:AF43">
    <cfRule type="expression" dxfId="8112" priority="195">
      <formula>D$9&gt;=20/24</formula>
    </cfRule>
    <cfRule type="expression" dxfId="8111" priority="196">
      <formula>AND(D$9&gt;=14/24,D$9&lt;20/24)</formula>
    </cfRule>
    <cfRule type="expression" dxfId="8110" priority="197">
      <formula>AND(D$9&gt;=8/24,D$9&lt;14/24)</formula>
    </cfRule>
    <cfRule type="expression" dxfId="8109" priority="198">
      <formula>D$9&lt;8/24</formula>
    </cfRule>
  </conditionalFormatting>
  <conditionalFormatting sqref="X63:AF65 X43:AF43">
    <cfRule type="expression" dxfId="8108" priority="194">
      <formula>X43&gt;$AG43</formula>
    </cfRule>
  </conditionalFormatting>
  <conditionalFormatting sqref="R49:V53 W49:AB51">
    <cfRule type="expression" dxfId="8107" priority="190">
      <formula>R$9&gt;=20/24</formula>
    </cfRule>
    <cfRule type="expression" dxfId="8106" priority="191">
      <formula>AND(R$9&gt;=14/24,R$9&lt;20/24)</formula>
    </cfRule>
    <cfRule type="expression" dxfId="8105" priority="192">
      <formula>AND(R$9&gt;=8/24,R$9&lt;14/24)</formula>
    </cfRule>
    <cfRule type="expression" dxfId="8104" priority="193">
      <formula>R$9&lt;8/24</formula>
    </cfRule>
  </conditionalFormatting>
  <conditionalFormatting sqref="R49:V53 W49:AB51">
    <cfRule type="expression" dxfId="8103" priority="189">
      <formula>R49&gt;$AG49</formula>
    </cfRule>
  </conditionalFormatting>
  <conditionalFormatting sqref="C93:AF93 B84:AF84">
    <cfRule type="expression" dxfId="8102" priority="185">
      <formula>B$9&gt;=20/24</formula>
    </cfRule>
    <cfRule type="expression" dxfId="8101" priority="186">
      <formula>AND(B$9&gt;=14/24,B$9&lt;20/24)</formula>
    </cfRule>
    <cfRule type="expression" dxfId="8100" priority="187">
      <formula>AND(B$9&gt;=8/24,B$9&lt;14/24)</formula>
    </cfRule>
    <cfRule type="expression" dxfId="8099" priority="188">
      <formula>B$9&lt;8/24</formula>
    </cfRule>
  </conditionalFormatting>
  <conditionalFormatting sqref="T43:W43">
    <cfRule type="expression" dxfId="8098" priority="181">
      <formula>T$9&gt;=20/24</formula>
    </cfRule>
    <cfRule type="expression" dxfId="8097" priority="182">
      <formula>AND(T$9&gt;=14/24,T$9&lt;20/24)</formula>
    </cfRule>
    <cfRule type="expression" dxfId="8096" priority="183">
      <formula>AND(T$9&gt;=8/24,T$9&lt;14/24)</formula>
    </cfRule>
    <cfRule type="expression" dxfId="8095" priority="184">
      <formula>T$9&lt;8/24</formula>
    </cfRule>
  </conditionalFormatting>
  <conditionalFormatting sqref="T43:W43">
    <cfRule type="expression" dxfId="8094" priority="180">
      <formula>T43&gt;$AG43</formula>
    </cfRule>
  </conditionalFormatting>
  <conditionalFormatting sqref="J50:L51 Y42:AF42">
    <cfRule type="expression" dxfId="8093" priority="176">
      <formula>J$9&gt;=20/24</formula>
    </cfRule>
    <cfRule type="expression" dxfId="8092" priority="177">
      <formula>AND(J$9&gt;=14/24,J$9&lt;20/24)</formula>
    </cfRule>
    <cfRule type="expression" dxfId="8091" priority="178">
      <formula>AND(J$9&gt;=8/24,J$9&lt;14/24)</formula>
    </cfRule>
    <cfRule type="expression" dxfId="8090" priority="179">
      <formula>J$9&lt;8/24</formula>
    </cfRule>
  </conditionalFormatting>
  <conditionalFormatting sqref="J49:L49">
    <cfRule type="expression" dxfId="8089" priority="172">
      <formula>J$9&gt;=20/24</formula>
    </cfRule>
    <cfRule type="expression" dxfId="8088" priority="173">
      <formula>AND(J$9&gt;=14/24,J$9&lt;20/24)</formula>
    </cfRule>
    <cfRule type="expression" dxfId="8087" priority="174">
      <formula>AND(J$9&gt;=8/24,J$9&lt;14/24)</formula>
    </cfRule>
    <cfRule type="expression" dxfId="8086" priority="175">
      <formula>J$9&lt;8/24</formula>
    </cfRule>
  </conditionalFormatting>
  <conditionalFormatting sqref="J49:L51 Y42:AF42">
    <cfRule type="expression" dxfId="8085" priority="171">
      <formula>J42&gt;$AG42</formula>
    </cfRule>
  </conditionalFormatting>
  <conditionalFormatting sqref="AG66 AG83 I96:L102 Q63:W65">
    <cfRule type="expression" dxfId="8084" priority="167">
      <formula>I$9&gt;=20/24</formula>
    </cfRule>
    <cfRule type="expression" dxfId="8083" priority="168">
      <formula>AND(I$9&gt;=14/24,I$9&lt;20/24)</formula>
    </cfRule>
    <cfRule type="expression" dxfId="8082" priority="169">
      <formula>AND(I$9&gt;=8/24,I$9&lt;14/24)</formula>
    </cfRule>
    <cfRule type="expression" dxfId="8081" priority="170">
      <formula>I$9&lt;8/24</formula>
    </cfRule>
  </conditionalFormatting>
  <conditionalFormatting sqref="AG44 AG62 AG66 Q63:W65">
    <cfRule type="expression" dxfId="8080" priority="166">
      <formula>Q44&gt;$AG44</formula>
    </cfRule>
  </conditionalFormatting>
  <conditionalFormatting sqref="Y54:AF54">
    <cfRule type="expression" dxfId="8079" priority="162">
      <formula>Y$9&gt;=20/24</formula>
    </cfRule>
    <cfRule type="expression" dxfId="8078" priority="163">
      <formula>AND(Y$9&gt;=14/24,Y$9&lt;20/24)</formula>
    </cfRule>
    <cfRule type="expression" dxfId="8077" priority="164">
      <formula>AND(Y$9&gt;=8/24,Y$9&lt;14/24)</formula>
    </cfRule>
    <cfRule type="expression" dxfId="8076" priority="165">
      <formula>Y$9&lt;8/24</formula>
    </cfRule>
  </conditionalFormatting>
  <conditionalFormatting sqref="Y54:AF54">
    <cfRule type="expression" dxfId="8075" priority="161">
      <formula>Y54&gt;$AG54</formula>
    </cfRule>
  </conditionalFormatting>
  <conditionalFormatting sqref="A40">
    <cfRule type="expression" dxfId="8074" priority="160">
      <formula>$AH40=0</formula>
    </cfRule>
  </conditionalFormatting>
  <conditionalFormatting sqref="X87:AF91">
    <cfRule type="expression" dxfId="8073" priority="156">
      <formula>X$9&gt;=20/24</formula>
    </cfRule>
    <cfRule type="expression" dxfId="8072" priority="157">
      <formula>AND(X$9&gt;=14/24,X$9&lt;20/24)</formula>
    </cfRule>
    <cfRule type="expression" dxfId="8071" priority="158">
      <formula>AND(X$9&gt;=8/24,X$9&lt;14/24)</formula>
    </cfRule>
    <cfRule type="expression" dxfId="8070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I45:R45 M47:R47 B46:R46 S45:AF47">
    <cfRule type="expression" dxfId="8069" priority="152">
      <formula>B$9&gt;=20/24</formula>
    </cfRule>
    <cfRule type="expression" dxfId="8068" priority="153">
      <formula>AND(B$9&gt;=14/24,B$9&lt;20/24)</formula>
    </cfRule>
    <cfRule type="expression" dxfId="8067" priority="154">
      <formula>AND(B$9&gt;=8/24,B$9&lt;14/24)</formula>
    </cfRule>
    <cfRule type="expression" dxfId="8066" priority="155">
      <formula>B$9&lt;8/24</formula>
    </cfRule>
  </conditionalFormatting>
  <conditionalFormatting sqref="I45:R45 M47:R47 B46:R46 S45:AF47">
    <cfRule type="expression" dxfId="8065" priority="151">
      <formula>B45&gt;$AG45</formula>
    </cfRule>
  </conditionalFormatting>
  <conditionalFormatting sqref="AG48">
    <cfRule type="expression" dxfId="8064" priority="147">
      <formula>AG$9&gt;=20/24</formula>
    </cfRule>
    <cfRule type="expression" dxfId="8063" priority="148">
      <formula>AND(AG$9&gt;=14/24,AG$9&lt;20/24)</formula>
    </cfRule>
    <cfRule type="expression" dxfId="8062" priority="149">
      <formula>AND(AG$9&gt;=8/24,AG$9&lt;14/24)</formula>
    </cfRule>
    <cfRule type="expression" dxfId="8061" priority="150">
      <formula>AG$9&lt;8/24</formula>
    </cfRule>
  </conditionalFormatting>
  <conditionalFormatting sqref="AG48">
    <cfRule type="expression" dxfId="8060" priority="146">
      <formula>AG48&gt;$AG48</formula>
    </cfRule>
  </conditionalFormatting>
  <conditionalFormatting sqref="C103:AF103">
    <cfRule type="expression" dxfId="8059" priority="142">
      <formula>C$9&gt;=20/24</formula>
    </cfRule>
    <cfRule type="expression" dxfId="8058" priority="143">
      <formula>AND(C$9&gt;=14/24,C$9&lt;20/24)</formula>
    </cfRule>
    <cfRule type="expression" dxfId="8057" priority="144">
      <formula>AND(C$9&gt;=8/24,C$9&lt;14/24)</formula>
    </cfRule>
    <cfRule type="expression" dxfId="8056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055" priority="140">
      <formula>$AH37=0</formula>
    </cfRule>
  </conditionalFormatting>
  <conditionalFormatting sqref="A86">
    <cfRule type="expression" dxfId="8054" priority="138">
      <formula>$AH86=0</formula>
    </cfRule>
  </conditionalFormatting>
  <conditionalFormatting sqref="A83">
    <cfRule type="expression" dxfId="8053" priority="139">
      <formula>$AH83=0</formula>
    </cfRule>
  </conditionalFormatting>
  <conditionalFormatting sqref="I106:AF106">
    <cfRule type="expression" dxfId="8052" priority="126">
      <formula>I$9&gt;=20/24</formula>
    </cfRule>
    <cfRule type="expression" dxfId="8051" priority="127">
      <formula>AND(I$9&gt;=14/24,I$9&lt;20/24)</formula>
    </cfRule>
    <cfRule type="expression" dxfId="8050" priority="128">
      <formula>AND(I$9&gt;=8/24,I$9&lt;14/24)</formula>
    </cfRule>
    <cfRule type="expression" dxfId="8049" priority="129">
      <formula>I$9&lt;8/24</formula>
    </cfRule>
  </conditionalFormatting>
  <conditionalFormatting sqref="A106">
    <cfRule type="expression" dxfId="8048" priority="125">
      <formula>$AH106=0</formula>
    </cfRule>
  </conditionalFormatting>
  <conditionalFormatting sqref="A19">
    <cfRule type="expression" dxfId="8047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046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8045" priority="117">
      <formula>Y$9&gt;=20/24</formula>
    </cfRule>
    <cfRule type="expression" dxfId="8044" priority="118">
      <formula>AND(Y$9&gt;=14/24,Y$9&lt;20/24)</formula>
    </cfRule>
    <cfRule type="expression" dxfId="8043" priority="119">
      <formula>AND(Y$9&gt;=8/24,Y$9&lt;14/24)</formula>
    </cfRule>
    <cfRule type="expression" dxfId="8042" priority="120">
      <formula>Y$9&lt;8/24</formula>
    </cfRule>
  </conditionalFormatting>
  <conditionalFormatting sqref="Y96:AC102">
    <cfRule type="expression" dxfId="8041" priority="113">
      <formula>Y$9&gt;=20/24</formula>
    </cfRule>
    <cfRule type="expression" dxfId="8040" priority="114">
      <formula>AND(Y$9&gt;=14/24,Y$9&lt;20/24)</formula>
    </cfRule>
    <cfRule type="expression" dxfId="8039" priority="115">
      <formula>AND(Y$9&gt;=8/24,Y$9&lt;14/24)</formula>
    </cfRule>
    <cfRule type="expression" dxfId="8038" priority="116">
      <formula>Y$9&lt;8/24</formula>
    </cfRule>
  </conditionalFormatting>
  <conditionalFormatting sqref="B105:H105 B107:H112 B15:X40">
    <cfRule type="expression" dxfId="8037" priority="109">
      <formula>B$9&gt;=20/24</formula>
    </cfRule>
    <cfRule type="expression" dxfId="8036" priority="110">
      <formula>AND(B$9&gt;=14/24,B$9&lt;20/24)</formula>
    </cfRule>
    <cfRule type="expression" dxfId="8035" priority="111">
      <formula>AND(B$9&gt;=8/24,B$9&lt;14/24)</formula>
    </cfRule>
    <cfRule type="expression" dxfId="8034" priority="112">
      <formula>B$9&lt;8/24</formula>
    </cfRule>
  </conditionalFormatting>
  <conditionalFormatting sqref="B43:S43">
    <cfRule type="expression" dxfId="8033" priority="105">
      <formula>B$9&gt;=20/24</formula>
    </cfRule>
    <cfRule type="expression" dxfId="8032" priority="106">
      <formula>AND(B$9&gt;=14/24,B$9&lt;20/24)</formula>
    </cfRule>
    <cfRule type="expression" dxfId="8031" priority="107">
      <formula>AND(B$9&gt;=8/24,B$9&lt;14/24)</formula>
    </cfRule>
    <cfRule type="expression" dxfId="8030" priority="108">
      <formula>B$9&lt;8/24</formula>
    </cfRule>
  </conditionalFormatting>
  <conditionalFormatting sqref="B43:S43 B15:X40">
    <cfRule type="expression" dxfId="8029" priority="104">
      <formula>B15&gt;$AG15</formula>
    </cfRule>
  </conditionalFormatting>
  <conditionalFormatting sqref="B95:H95">
    <cfRule type="expression" dxfId="8028" priority="100">
      <formula>B$9&gt;=20/24</formula>
    </cfRule>
    <cfRule type="expression" dxfId="8027" priority="101">
      <formula>AND(B$9&gt;=14/24,B$9&lt;20/24)</formula>
    </cfRule>
    <cfRule type="expression" dxfId="8026" priority="102">
      <formula>AND(B$9&gt;=8/24,B$9&lt;14/24)</formula>
    </cfRule>
    <cfRule type="expression" dxfId="8025" priority="103">
      <formula>B$9&lt;8/24</formula>
    </cfRule>
  </conditionalFormatting>
  <conditionalFormatting sqref="B50:I51 B67:L67">
    <cfRule type="expression" dxfId="8024" priority="96">
      <formula>B$9&gt;=20/24</formula>
    </cfRule>
    <cfRule type="expression" dxfId="8023" priority="97">
      <formula>AND(B$9&gt;=14/24,B$9&lt;20/24)</formula>
    </cfRule>
    <cfRule type="expression" dxfId="8022" priority="98">
      <formula>AND(B$9&gt;=8/24,B$9&lt;14/24)</formula>
    </cfRule>
    <cfRule type="expression" dxfId="8021" priority="99">
      <formula>B$9&lt;8/24</formula>
    </cfRule>
  </conditionalFormatting>
  <conditionalFormatting sqref="B49:I49">
    <cfRule type="expression" dxfId="8020" priority="92">
      <formula>B$9&gt;=20/24</formula>
    </cfRule>
    <cfRule type="expression" dxfId="8019" priority="93">
      <formula>AND(B$9&gt;=14/24,B$9&lt;20/24)</formula>
    </cfRule>
    <cfRule type="expression" dxfId="8018" priority="94">
      <formula>AND(B$9&gt;=8/24,B$9&lt;14/24)</formula>
    </cfRule>
    <cfRule type="expression" dxfId="8017" priority="95">
      <formula>B$9&lt;8/24</formula>
    </cfRule>
  </conditionalFormatting>
  <conditionalFormatting sqref="B49:I51">
    <cfRule type="expression" dxfId="8016" priority="91">
      <formula>B49&gt;$AG49</formula>
    </cfRule>
  </conditionalFormatting>
  <conditionalFormatting sqref="B82:C82 B92:W92 B79:AF81 B96:H102 B63:P65 B68:L72 M70:X72 Y71:AF72">
    <cfRule type="expression" dxfId="8015" priority="87">
      <formula>B$9&gt;=20/24</formula>
    </cfRule>
    <cfRule type="expression" dxfId="8014" priority="88">
      <formula>AND(B$9&gt;=14/24,B$9&lt;20/24)</formula>
    </cfRule>
    <cfRule type="expression" dxfId="8013" priority="89">
      <formula>AND(B$9&gt;=8/24,B$9&lt;14/24)</formula>
    </cfRule>
    <cfRule type="expression" dxfId="8012" priority="90">
      <formula>B$9&lt;8/24</formula>
    </cfRule>
  </conditionalFormatting>
  <conditionalFormatting sqref="B63:P65 B52:L53">
    <cfRule type="expression" dxfId="8011" priority="86">
      <formula>B52&gt;$AG52</formula>
    </cfRule>
  </conditionalFormatting>
  <conditionalFormatting sqref="B54:L54 W54:X54">
    <cfRule type="expression" dxfId="8010" priority="82">
      <formula>B$9&gt;=20/24</formula>
    </cfRule>
    <cfRule type="expression" dxfId="8009" priority="83">
      <formula>AND(B$9&gt;=14/24,B$9&lt;20/24)</formula>
    </cfRule>
    <cfRule type="expression" dxfId="8008" priority="84">
      <formula>AND(B$9&gt;=8/24,B$9&lt;14/24)</formula>
    </cfRule>
    <cfRule type="expression" dxfId="8007" priority="85">
      <formula>B$9&lt;8/24</formula>
    </cfRule>
  </conditionalFormatting>
  <conditionalFormatting sqref="B54:L54 W54:X54">
    <cfRule type="expression" dxfId="8006" priority="81">
      <formula>B54&gt;$AG54</formula>
    </cfRule>
  </conditionalFormatting>
  <conditionalFormatting sqref="B93">
    <cfRule type="expression" dxfId="8005" priority="77">
      <formula>B$9&gt;=20/24</formula>
    </cfRule>
    <cfRule type="expression" dxfId="8004" priority="78">
      <formula>AND(B$9&gt;=14/24,B$9&lt;20/24)</formula>
    </cfRule>
    <cfRule type="expression" dxfId="8003" priority="79">
      <formula>AND(B$9&gt;=8/24,B$9&lt;14/24)</formula>
    </cfRule>
    <cfRule type="expression" dxfId="8002" priority="80">
      <formula>B$9&lt;8/24</formula>
    </cfRule>
  </conditionalFormatting>
  <conditionalFormatting sqref="B42:X42">
    <cfRule type="expression" dxfId="8001" priority="73">
      <formula>B$9&gt;=20/24</formula>
    </cfRule>
    <cfRule type="expression" dxfId="8000" priority="74">
      <formula>AND(B$9&gt;=14/24,B$9&lt;20/24)</formula>
    </cfRule>
    <cfRule type="expression" dxfId="7999" priority="75">
      <formula>AND(B$9&gt;=8/24,B$9&lt;14/24)</formula>
    </cfRule>
    <cfRule type="expression" dxfId="7998" priority="76">
      <formula>B$9&lt;8/24</formula>
    </cfRule>
  </conditionalFormatting>
  <conditionalFormatting sqref="B42:X42">
    <cfRule type="expression" dxfId="7997" priority="72">
      <formula>B42&gt;$AG42</formula>
    </cfRule>
  </conditionalFormatting>
  <conditionalFormatting sqref="B66:AF66 B83:AF83 B85:AF85 B94:AF94">
    <cfRule type="expression" dxfId="7996" priority="68">
      <formula>B$9&gt;=20/24</formula>
    </cfRule>
    <cfRule type="expression" dxfId="7995" priority="69">
      <formula>AND(B$9&gt;=14/24,B$9&lt;20/24)</formula>
    </cfRule>
    <cfRule type="expression" dxfId="7994" priority="70">
      <formula>AND(B$9&gt;=8/24,B$9&lt;14/24)</formula>
    </cfRule>
    <cfRule type="expression" dxfId="7993" priority="71">
      <formula>B$9&lt;8/24</formula>
    </cfRule>
  </conditionalFormatting>
  <conditionalFormatting sqref="B61:AF62 B66:AF66 B44:AF44">
    <cfRule type="expression" dxfId="7992" priority="67">
      <formula>B44&gt;$AG44</formula>
    </cfRule>
  </conditionalFormatting>
  <conditionalFormatting sqref="B78:AF78">
    <cfRule type="expression" dxfId="7991" priority="63">
      <formula>B$9&gt;=20/24</formula>
    </cfRule>
    <cfRule type="expression" dxfId="7990" priority="64">
      <formula>AND(B$9&gt;=14/24,B$9&lt;20/24)</formula>
    </cfRule>
    <cfRule type="expression" dxfId="7989" priority="65">
      <formula>AND(B$9&gt;=8/24,B$9&lt;14/24)</formula>
    </cfRule>
    <cfRule type="expression" dxfId="7988" priority="66">
      <formula>B$9&lt;8/24</formula>
    </cfRule>
  </conditionalFormatting>
  <conditionalFormatting sqref="B87:W91">
    <cfRule type="expression" dxfId="7987" priority="59">
      <formula>B$9&gt;=20/24</formula>
    </cfRule>
    <cfRule type="expression" dxfId="7986" priority="60">
      <formula>AND(B$9&gt;=14/24,B$9&lt;20/24)</formula>
    </cfRule>
    <cfRule type="expression" dxfId="7985" priority="61">
      <formula>AND(B$9&gt;=8/24,B$9&lt;14/24)</formula>
    </cfRule>
    <cfRule type="expression" dxfId="7984" priority="62">
      <formula>B$9&lt;8/24</formula>
    </cfRule>
  </conditionalFormatting>
  <conditionalFormatting sqref="B45:H45 B47:L47">
    <cfRule type="expression" dxfId="7983" priority="55">
      <formula>B$9&gt;=20/24</formula>
    </cfRule>
    <cfRule type="expression" dxfId="7982" priority="56">
      <formula>AND(B$9&gt;=14/24,B$9&lt;20/24)</formula>
    </cfRule>
    <cfRule type="expression" dxfId="7981" priority="57">
      <formula>AND(B$9&gt;=8/24,B$9&lt;14/24)</formula>
    </cfRule>
    <cfRule type="expression" dxfId="7980" priority="58">
      <formula>B$9&lt;8/24</formula>
    </cfRule>
  </conditionalFormatting>
  <conditionalFormatting sqref="B45:H45 B47:L47">
    <cfRule type="expression" dxfId="7979" priority="54">
      <formula>B45&gt;$AG45</formula>
    </cfRule>
  </conditionalFormatting>
  <conditionalFormatting sqref="B48:AF48">
    <cfRule type="expression" dxfId="7978" priority="50">
      <formula>B$9&gt;=20/24</formula>
    </cfRule>
    <cfRule type="expression" dxfId="7977" priority="51">
      <formula>AND(B$9&gt;=14/24,B$9&lt;20/24)</formula>
    </cfRule>
    <cfRule type="expression" dxfId="7976" priority="52">
      <formula>AND(B$9&gt;=8/24,B$9&lt;14/24)</formula>
    </cfRule>
    <cfRule type="expression" dxfId="7975" priority="53">
      <formula>B$9&lt;8/24</formula>
    </cfRule>
  </conditionalFormatting>
  <conditionalFormatting sqref="B48:AF48">
    <cfRule type="expression" dxfId="7974" priority="49">
      <formula>B48&gt;$AG48</formula>
    </cfRule>
  </conditionalFormatting>
  <conditionalFormatting sqref="B103">
    <cfRule type="expression" dxfId="7973" priority="45">
      <formula>B$9&gt;=20/24</formula>
    </cfRule>
    <cfRule type="expression" dxfId="7972" priority="46">
      <formula>AND(B$9&gt;=14/24,B$9&lt;20/24)</formula>
    </cfRule>
    <cfRule type="expression" dxfId="7971" priority="47">
      <formula>AND(B$9&gt;=8/24,B$9&lt;14/24)</formula>
    </cfRule>
    <cfRule type="expression" dxfId="7970" priority="48">
      <formula>B$9&lt;8/24</formula>
    </cfRule>
  </conditionalFormatting>
  <conditionalFormatting sqref="B106:H106">
    <cfRule type="expression" dxfId="7969" priority="33">
      <formula>B$9&gt;=20/24</formula>
    </cfRule>
    <cfRule type="expression" dxfId="7968" priority="34">
      <formula>AND(B$9&gt;=14/24,B$9&lt;20/24)</formula>
    </cfRule>
    <cfRule type="expression" dxfId="7967" priority="35">
      <formula>AND(B$9&gt;=8/24,B$9&lt;14/24)</formula>
    </cfRule>
    <cfRule type="expression" dxfId="7966" priority="36">
      <formula>B$9&lt;8/24</formula>
    </cfRule>
  </conditionalFormatting>
  <conditionalFormatting sqref="B55:L60 M55:X55 M57:X60 Y55:AF60">
    <cfRule type="expression" dxfId="7965" priority="29">
      <formula>B$9&gt;=20/24</formula>
    </cfRule>
    <cfRule type="expression" dxfId="7964" priority="30">
      <formula>AND(B$9&gt;=14/24,B$9&lt;20/24)</formula>
    </cfRule>
    <cfRule type="expression" dxfId="7963" priority="31">
      <formula>AND(B$9&gt;=8/24,B$9&lt;14/24)</formula>
    </cfRule>
    <cfRule type="expression" dxfId="7962" priority="32">
      <formula>B$9&lt;8/24</formula>
    </cfRule>
  </conditionalFormatting>
  <conditionalFormatting sqref="B55:L60 M55:X55 M57:X60 Y55:AF60">
    <cfRule type="expression" dxfId="7961" priority="28">
      <formula>B55&gt;$AG55</formula>
    </cfRule>
  </conditionalFormatting>
  <conditionalFormatting sqref="B12:X14 B41:X41">
    <cfRule type="expression" dxfId="7960" priority="27">
      <formula>B12&gt;$AG12</formula>
    </cfRule>
  </conditionalFormatting>
  <conditionalFormatting sqref="B11:X11">
    <cfRule type="expression" dxfId="7959" priority="23">
      <formula>B$9&gt;=20/24</formula>
    </cfRule>
    <cfRule type="expression" dxfId="7958" priority="24">
      <formula>AND(B$9&gt;=14/24,B$9&lt;20/24)</formula>
    </cfRule>
    <cfRule type="expression" dxfId="7957" priority="25">
      <formula>AND(B$9&gt;=8/24,B$9&lt;14/24)</formula>
    </cfRule>
    <cfRule type="expression" dxfId="7956" priority="26">
      <formula>B$9&lt;8/24</formula>
    </cfRule>
  </conditionalFormatting>
  <conditionalFormatting sqref="B11:X11">
    <cfRule type="expression" dxfId="7955" priority="22">
      <formula>B11&gt;$AG11</formula>
    </cfRule>
  </conditionalFormatting>
  <conditionalFormatting sqref="B12:X14">
    <cfRule type="expression" dxfId="7954" priority="18">
      <formula>B$9&gt;=20/24</formula>
    </cfRule>
    <cfRule type="expression" dxfId="7953" priority="19">
      <formula>AND(B$9&gt;=14/24,B$9&lt;20/24)</formula>
    </cfRule>
    <cfRule type="expression" dxfId="7952" priority="20">
      <formula>AND(B$9&gt;=8/24,B$9&lt;14/24)</formula>
    </cfRule>
    <cfRule type="expression" dxfId="7951" priority="21">
      <formula>B$9&lt;8/24</formula>
    </cfRule>
  </conditionalFormatting>
  <conditionalFormatting sqref="B41:X41">
    <cfRule type="expression" dxfId="7950" priority="14">
      <formula>B$9&gt;=20/24</formula>
    </cfRule>
    <cfRule type="expression" dxfId="7949" priority="15">
      <formula>AND(B$9&gt;=14/24,B$9&lt;20/24)</formula>
    </cfRule>
    <cfRule type="expression" dxfId="7948" priority="16">
      <formula>AND(B$9&gt;=8/24,B$9&lt;14/24)</formula>
    </cfRule>
    <cfRule type="expression" dxfId="7947" priority="17">
      <formula>B$9&lt;8/24</formula>
    </cfRule>
  </conditionalFormatting>
  <conditionalFormatting sqref="B73:AF77">
    <cfRule type="expression" dxfId="7946" priority="10">
      <formula>B$9&gt;=20/24</formula>
    </cfRule>
    <cfRule type="expression" dxfId="7945" priority="11">
      <formula>AND(B$9&gt;=14/24,B$9&lt;20/24)</formula>
    </cfRule>
    <cfRule type="expression" dxfId="7944" priority="12">
      <formula>AND(B$9&gt;=8/24,B$9&lt;14/24)</formula>
    </cfRule>
    <cfRule type="expression" dxfId="7943" priority="13">
      <formula>B$9&lt;8/24</formula>
    </cfRule>
  </conditionalFormatting>
  <conditionalFormatting sqref="AL74:AN74 AL80:AN80 AN75:AN76">
    <cfRule type="expression" dxfId="7942" priority="6">
      <formula>AL$9&gt;=20/24</formula>
    </cfRule>
    <cfRule type="expression" dxfId="7941" priority="7">
      <formula>AND(AL$9&gt;=14/24,AL$9&lt;20/24)</formula>
    </cfRule>
    <cfRule type="expression" dxfId="7940" priority="8">
      <formula>AND(AL$9&gt;=8/24,AL$9&lt;14/24)</formula>
    </cfRule>
    <cfRule type="expression" dxfId="7939" priority="9">
      <formula>AL$9&lt;8/24</formula>
    </cfRule>
  </conditionalFormatting>
  <conditionalFormatting sqref="AN77:AN78">
    <cfRule type="expression" dxfId="7938" priority="2">
      <formula>AN$9&gt;=20/24</formula>
    </cfRule>
    <cfRule type="expression" dxfId="7937" priority="3">
      <formula>AND(AN$9&gt;=14/24,AN$9&lt;20/24)</formula>
    </cfRule>
    <cfRule type="expression" dxfId="7936" priority="4">
      <formula>AND(AN$9&gt;=8/24,AN$9&lt;14/24)</formula>
    </cfRule>
    <cfRule type="expression" dxfId="7935" priority="5">
      <formula>AN$9&lt;8/24</formula>
    </cfRule>
  </conditionalFormatting>
  <conditionalFormatting sqref="AL75:AM79">
    <cfRule type="expression" dxfId="7934" priority="258">
      <formula>AJ$9&gt;=20/24</formula>
    </cfRule>
    <cfRule type="expression" dxfId="7933" priority="259">
      <formula>AND(AJ$9&gt;=14/24,AJ$9&lt;20/24)</formula>
    </cfRule>
    <cfRule type="expression" dxfId="7932" priority="260">
      <formula>AND(AJ$9&gt;=8/24,AJ$9&lt;14/24)</formula>
    </cfRule>
    <cfRule type="expression" dxfId="7931" priority="261">
      <formula>AJ$9&lt;8/24</formula>
    </cfRule>
  </conditionalFormatting>
  <conditionalFormatting sqref="A113">
    <cfRule type="expression" dxfId="7930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288BC4C3-AD29-4CFA-8993-600CC2DA57D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DD5918C3-97EE-4E3E-9D08-CB8533BB51C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9EC7F6CD-5E98-4E30-82DE-0AF1E6A09E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C476A2A6-7F6A-45AE-889B-C0CF1D4CD9F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I113:AF113</xm:sqref>
        </x14:conditionalFormatting>
        <x14:conditionalFormatting xmlns:xm="http://schemas.microsoft.com/office/excel/2006/main">
          <x14:cfRule type="expression" priority="130" id="{0714CE00-1CFC-44DC-A445-3DA4D68868B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00D2926E-1DA3-484D-B0B2-5C0174D4521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9D0354E2-A495-49CF-A92F-751E0D4505B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1DE6AEFD-31CE-4FF1-A8F0-35A0C80695D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C113:H113</xm:sqref>
        </x14:conditionalFormatting>
        <x14:conditionalFormatting xmlns:xm="http://schemas.microsoft.com/office/excel/2006/main">
          <x14:cfRule type="expression" priority="41" id="{06EB8A5B-2C2B-4C59-B5AA-D5A9C4FAD1C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AC1860C9-E5E1-4ADB-9364-82E7BD9ABEC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B10C5DF0-9BB6-41D1-8DCD-1354E8BD280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AF8C7E9C-A909-4D37-880D-EB5C3AFA0B7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BA2F50B1-0AF6-4D7F-AEDE-87ECD51E8C0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1A107AE6-86D9-4A27-9E3A-620578240C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8B0EAB09-CA0E-44ED-AA8D-4E3EB77BD0B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07F3E7C3-6575-4C7D-9A86-19AC249D33A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74"/>
  <sheetViews>
    <sheetView zoomScale="90" zoomScaleNormal="90" workbookViewId="0">
      <pane ySplit="10" topLeftCell="A44" activePane="bottomLeft" state="frozen"/>
      <selection activeCell="Z85" sqref="Z85"/>
      <selection pane="bottomLeft" activeCell="K34" sqref="K3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2079/11/13</v>
      </c>
      <c r="C4" s="208"/>
      <c r="D4" s="208"/>
      <c r="E4" s="209" t="str">
        <f ca="1">"2079/"&amp;"11/"&amp;INT(MID(CELL("filename",G6),FIND("]",CELL("filename",G6))+1,200))</f>
        <v>2079/11/13</v>
      </c>
      <c r="F4" s="209"/>
      <c r="G4" s="209"/>
      <c r="H4" s="209" t="str">
        <f ca="1">TEXT(E4,"dddd")</f>
        <v>Monday</v>
      </c>
      <c r="I4" s="20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447.5</v>
      </c>
      <c r="C5" s="30">
        <f t="shared" si="0"/>
        <v>445.5</v>
      </c>
      <c r="D5" s="30">
        <f t="shared" si="0"/>
        <v>441.2</v>
      </c>
      <c r="E5" s="30">
        <f t="shared" si="0"/>
        <v>446.7</v>
      </c>
      <c r="F5" s="30">
        <f t="shared" si="0"/>
        <v>460.6</v>
      </c>
      <c r="G5" s="30">
        <f t="shared" si="0"/>
        <v>489.2</v>
      </c>
      <c r="H5" s="30">
        <f t="shared" si="0"/>
        <v>362.3</v>
      </c>
      <c r="I5" s="30">
        <f t="shared" si="0"/>
        <v>238.6</v>
      </c>
      <c r="J5" s="30">
        <f t="shared" si="0"/>
        <v>169.7</v>
      </c>
      <c r="K5" s="30">
        <f t="shared" si="0"/>
        <v>169.7</v>
      </c>
      <c r="L5" s="30">
        <f t="shared" si="0"/>
        <v>188.7</v>
      </c>
      <c r="M5" s="30">
        <f t="shared" si="0"/>
        <v>350.7</v>
      </c>
      <c r="N5" s="30">
        <f t="shared" si="0"/>
        <v>469</v>
      </c>
      <c r="O5" s="30">
        <f t="shared" si="0"/>
        <v>412</v>
      </c>
      <c r="P5" s="30">
        <f t="shared" si="0"/>
        <v>428</v>
      </c>
      <c r="Q5" s="30">
        <f t="shared" si="0"/>
        <v>429.35</v>
      </c>
      <c r="R5" s="30">
        <f t="shared" si="0"/>
        <v>469.2</v>
      </c>
      <c r="S5" s="30">
        <f t="shared" si="0"/>
        <v>471.9</v>
      </c>
      <c r="T5" s="30">
        <f t="shared" si="0"/>
        <v>475.2</v>
      </c>
      <c r="U5" s="30">
        <f t="shared" si="0"/>
        <v>446.70000000000005</v>
      </c>
      <c r="V5" s="30">
        <f t="shared" si="0"/>
        <v>465.6</v>
      </c>
      <c r="W5" s="30">
        <f t="shared" si="0"/>
        <v>409</v>
      </c>
      <c r="X5" s="30">
        <f t="shared" si="0"/>
        <v>404</v>
      </c>
      <c r="Y5" s="30">
        <f t="shared" si="0"/>
        <v>319</v>
      </c>
      <c r="Z5" s="30">
        <f t="shared" si="0"/>
        <v>299</v>
      </c>
      <c r="AA5" s="30">
        <f t="shared" si="0"/>
        <v>378</v>
      </c>
      <c r="AB5" s="30">
        <f t="shared" si="0"/>
        <v>474</v>
      </c>
      <c r="AC5" s="30">
        <f t="shared" si="0"/>
        <v>486</v>
      </c>
      <c r="AD5" s="30">
        <f t="shared" si="0"/>
        <v>456</v>
      </c>
      <c r="AE5" s="30">
        <f t="shared" si="0"/>
        <v>451</v>
      </c>
      <c r="AF5" s="30">
        <f>B78</f>
        <v>466.8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1392MW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Load=964</v>
      </c>
      <c r="B7" s="35">
        <f t="shared" ref="B7:AF7" si="1">B85</f>
        <v>1008.79</v>
      </c>
      <c r="C7" s="35">
        <f t="shared" si="1"/>
        <v>977.99</v>
      </c>
      <c r="D7" s="35">
        <f t="shared" si="1"/>
        <v>968.58999999999992</v>
      </c>
      <c r="E7" s="35">
        <f t="shared" si="1"/>
        <v>964.29</v>
      </c>
      <c r="F7" s="35">
        <f t="shared" si="1"/>
        <v>970.68999999999983</v>
      </c>
      <c r="G7" s="35">
        <f t="shared" si="1"/>
        <v>1021.4899999999999</v>
      </c>
      <c r="H7" s="35">
        <f t="shared" si="1"/>
        <v>1057.8899999999999</v>
      </c>
      <c r="I7" s="35">
        <f t="shared" si="1"/>
        <v>1124.99</v>
      </c>
      <c r="J7" s="35">
        <f t="shared" si="1"/>
        <v>1116.79</v>
      </c>
      <c r="K7" s="35">
        <f t="shared" si="1"/>
        <v>1112.19</v>
      </c>
      <c r="L7" s="35">
        <f t="shared" si="1"/>
        <v>1301.5900000000001</v>
      </c>
      <c r="M7" s="35">
        <f t="shared" si="1"/>
        <v>1388.39</v>
      </c>
      <c r="N7" s="35">
        <f>N85</f>
        <v>1392.49</v>
      </c>
      <c r="O7" s="35">
        <f t="shared" si="1"/>
        <v>1342.3899999999999</v>
      </c>
      <c r="P7" s="35">
        <f t="shared" si="1"/>
        <v>1145.19</v>
      </c>
      <c r="Q7" s="35">
        <f t="shared" si="1"/>
        <v>1177.19</v>
      </c>
      <c r="R7" s="35">
        <f t="shared" si="1"/>
        <v>1162.4899999999998</v>
      </c>
      <c r="S7" s="35">
        <f t="shared" si="1"/>
        <v>1127.6399999999999</v>
      </c>
      <c r="T7" s="35">
        <f t="shared" si="1"/>
        <v>1126.7399999999998</v>
      </c>
      <c r="U7" s="35">
        <f t="shared" si="1"/>
        <v>1157.44</v>
      </c>
      <c r="V7" s="35">
        <f t="shared" si="1"/>
        <v>1144.74</v>
      </c>
      <c r="W7" s="35">
        <f t="shared" si="1"/>
        <v>1256.04</v>
      </c>
      <c r="X7" s="35">
        <f t="shared" si="1"/>
        <v>1286.74</v>
      </c>
      <c r="Y7" s="35">
        <f t="shared" si="1"/>
        <v>1453.1399999999999</v>
      </c>
      <c r="Z7" s="35">
        <f t="shared" si="1"/>
        <v>1445.3400000000001</v>
      </c>
      <c r="AA7" s="35">
        <f t="shared" si="1"/>
        <v>1377.74</v>
      </c>
      <c r="AB7" s="35">
        <f t="shared" si="1"/>
        <v>1218.24</v>
      </c>
      <c r="AC7" s="35">
        <f t="shared" si="1"/>
        <v>1214.04</v>
      </c>
      <c r="AD7" s="35">
        <f t="shared" si="1"/>
        <v>1162.24</v>
      </c>
      <c r="AE7" s="35">
        <f t="shared" si="1"/>
        <v>1112.24</v>
      </c>
      <c r="AF7" s="35">
        <f t="shared" si="1"/>
        <v>1041.3400000000001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14.1</v>
      </c>
      <c r="C11" s="45">
        <v>17.2</v>
      </c>
      <c r="D11" s="45">
        <v>16.600000000000001</v>
      </c>
      <c r="E11" s="45">
        <v>16.600000000000001</v>
      </c>
      <c r="F11" s="45">
        <v>16.600000000000001</v>
      </c>
      <c r="G11" s="45">
        <v>16.600000000000001</v>
      </c>
      <c r="H11" s="45">
        <v>16.600000000000001</v>
      </c>
      <c r="I11" s="45">
        <v>16.600000000000001</v>
      </c>
      <c r="J11" s="45">
        <v>16.600000000000001</v>
      </c>
      <c r="K11" s="45">
        <v>16.600000000000001</v>
      </c>
      <c r="L11" s="45">
        <v>16.600000000000001</v>
      </c>
      <c r="M11" s="45">
        <v>16.600000000000001</v>
      </c>
      <c r="N11" s="45">
        <v>16.600000000000001</v>
      </c>
      <c r="O11" s="45">
        <v>15.9</v>
      </c>
      <c r="P11" s="45">
        <v>15.9</v>
      </c>
      <c r="Q11" s="45">
        <v>15.9</v>
      </c>
      <c r="R11" s="45">
        <v>16.3</v>
      </c>
      <c r="S11" s="45">
        <v>15.9</v>
      </c>
      <c r="T11" s="45">
        <v>15.9</v>
      </c>
      <c r="U11" s="45">
        <v>15.9</v>
      </c>
      <c r="V11" s="45">
        <v>15.9</v>
      </c>
      <c r="W11" s="45">
        <v>13.7</v>
      </c>
      <c r="X11" s="45">
        <v>13.7</v>
      </c>
      <c r="Y11" s="45">
        <v>13.7</v>
      </c>
      <c r="Z11" s="45">
        <v>13.7</v>
      </c>
      <c r="AA11" s="45">
        <v>13.7</v>
      </c>
      <c r="AB11" s="45">
        <v>13.7</v>
      </c>
      <c r="AC11" s="45">
        <v>13.7</v>
      </c>
      <c r="AD11" s="45">
        <v>13.7</v>
      </c>
      <c r="AE11" s="45">
        <v>13.7</v>
      </c>
      <c r="AF11" s="45">
        <v>13.7</v>
      </c>
      <c r="AG11" s="46">
        <v>52.4</v>
      </c>
      <c r="AH11" s="47">
        <f t="shared" ref="AH11:AH74" si="2">MAX(B11:AF11)</f>
        <v>17.2</v>
      </c>
      <c r="AI11" s="48">
        <f t="shared" ref="AI11:AI74" si="3">MIN(B11:AF11)</f>
        <v>13.7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30.4</v>
      </c>
      <c r="C12" s="45">
        <v>29.8</v>
      </c>
      <c r="D12" s="45">
        <v>30.2</v>
      </c>
      <c r="E12" s="45">
        <v>30.2</v>
      </c>
      <c r="F12" s="45">
        <v>30.2</v>
      </c>
      <c r="G12" s="45">
        <v>30.2</v>
      </c>
      <c r="H12" s="45">
        <v>30.2</v>
      </c>
      <c r="I12" s="45">
        <v>30.2</v>
      </c>
      <c r="J12" s="45">
        <v>30.2</v>
      </c>
      <c r="K12" s="45">
        <v>30.2</v>
      </c>
      <c r="L12" s="45">
        <v>30.2</v>
      </c>
      <c r="M12" s="45">
        <v>30.2</v>
      </c>
      <c r="N12" s="45">
        <v>30.2</v>
      </c>
      <c r="O12" s="45">
        <v>30.2</v>
      </c>
      <c r="P12" s="45">
        <v>30.2</v>
      </c>
      <c r="Q12" s="45">
        <v>30.2</v>
      </c>
      <c r="R12" s="45">
        <v>30</v>
      </c>
      <c r="S12" s="45">
        <v>30.3</v>
      </c>
      <c r="T12" s="45">
        <v>30.3</v>
      </c>
      <c r="U12" s="45">
        <v>30.3</v>
      </c>
      <c r="V12" s="45">
        <v>30.3</v>
      </c>
      <c r="W12" s="45">
        <v>30.3</v>
      </c>
      <c r="X12" s="45">
        <v>30.3</v>
      </c>
      <c r="Y12" s="45">
        <v>30.3</v>
      </c>
      <c r="Z12" s="45">
        <v>30.3</v>
      </c>
      <c r="AA12" s="45">
        <v>30.3</v>
      </c>
      <c r="AB12" s="45">
        <v>30.3</v>
      </c>
      <c r="AC12" s="45">
        <v>30.3</v>
      </c>
      <c r="AD12" s="45">
        <v>30.3</v>
      </c>
      <c r="AE12" s="45">
        <v>30.3</v>
      </c>
      <c r="AF12" s="45">
        <v>30.3</v>
      </c>
      <c r="AG12" s="50">
        <v>50</v>
      </c>
      <c r="AH12" s="47">
        <f t="shared" si="2"/>
        <v>30.4</v>
      </c>
      <c r="AI12" s="48">
        <f t="shared" si="3"/>
        <v>29.8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18.100000000000001</v>
      </c>
      <c r="C13" s="45">
        <v>18.7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15.7</v>
      </c>
      <c r="P13" s="45">
        <v>15.7</v>
      </c>
      <c r="Q13" s="45">
        <v>15.7</v>
      </c>
      <c r="R13" s="45">
        <v>15.8</v>
      </c>
      <c r="S13" s="45">
        <v>15</v>
      </c>
      <c r="T13" s="45">
        <v>15</v>
      </c>
      <c r="U13" s="45">
        <v>15</v>
      </c>
      <c r="V13" s="45">
        <v>15</v>
      </c>
      <c r="W13" s="45">
        <v>15.3</v>
      </c>
      <c r="X13" s="45">
        <v>15.3</v>
      </c>
      <c r="Y13" s="45">
        <v>15.3</v>
      </c>
      <c r="Z13" s="45">
        <v>15.3</v>
      </c>
      <c r="AA13" s="45">
        <v>15.3</v>
      </c>
      <c r="AB13" s="45">
        <v>15.3</v>
      </c>
      <c r="AC13" s="45">
        <v>15.3</v>
      </c>
      <c r="AD13" s="45">
        <v>15.3</v>
      </c>
      <c r="AE13" s="45">
        <v>15.3</v>
      </c>
      <c r="AF13" s="45">
        <v>15.3</v>
      </c>
      <c r="AG13" s="50">
        <v>45</v>
      </c>
      <c r="AH13" s="47">
        <f t="shared" si="2"/>
        <v>19.100000000000001</v>
      </c>
      <c r="AI13" s="48">
        <f t="shared" si="3"/>
        <v>15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8.5</v>
      </c>
      <c r="T14" s="45">
        <v>8.5</v>
      </c>
      <c r="U14" s="45">
        <v>8.5</v>
      </c>
      <c r="V14" s="45">
        <v>8.5</v>
      </c>
      <c r="W14" s="45">
        <v>12</v>
      </c>
      <c r="X14" s="45">
        <v>12</v>
      </c>
      <c r="Y14" s="45">
        <v>12</v>
      </c>
      <c r="Z14" s="45">
        <v>12</v>
      </c>
      <c r="AA14" s="45">
        <v>12</v>
      </c>
      <c r="AB14" s="45">
        <v>12</v>
      </c>
      <c r="AC14" s="45">
        <v>12</v>
      </c>
      <c r="AD14" s="45">
        <v>12</v>
      </c>
      <c r="AE14" s="45">
        <v>12</v>
      </c>
      <c r="AF14" s="45">
        <v>12</v>
      </c>
      <c r="AG14" s="50">
        <v>42</v>
      </c>
      <c r="AH14" s="47">
        <f t="shared" si="2"/>
        <v>12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12.5</v>
      </c>
      <c r="C15" s="45">
        <v>12.5</v>
      </c>
      <c r="D15" s="45">
        <v>12.5</v>
      </c>
      <c r="E15" s="45">
        <v>12.5</v>
      </c>
      <c r="F15" s="45">
        <v>12.5</v>
      </c>
      <c r="G15" s="45">
        <v>12.5</v>
      </c>
      <c r="H15" s="45">
        <v>12.5</v>
      </c>
      <c r="I15" s="45">
        <v>12.5</v>
      </c>
      <c r="J15" s="45">
        <v>12.5</v>
      </c>
      <c r="K15" s="45">
        <v>12.5</v>
      </c>
      <c r="L15" s="45">
        <v>12.5</v>
      </c>
      <c r="M15" s="45">
        <v>12.5</v>
      </c>
      <c r="N15" s="45">
        <v>12.5</v>
      </c>
      <c r="O15" s="45">
        <v>12.5</v>
      </c>
      <c r="P15" s="45">
        <v>12.5</v>
      </c>
      <c r="Q15" s="45">
        <v>12.5</v>
      </c>
      <c r="R15" s="45">
        <v>12.6</v>
      </c>
      <c r="S15" s="45">
        <v>12.5</v>
      </c>
      <c r="T15" s="45">
        <v>12.5</v>
      </c>
      <c r="U15" s="45">
        <v>12.5</v>
      </c>
      <c r="V15" s="45">
        <v>12.5</v>
      </c>
      <c r="W15" s="45">
        <v>12.5</v>
      </c>
      <c r="X15" s="45">
        <v>12.5</v>
      </c>
      <c r="Y15" s="45">
        <v>12.5</v>
      </c>
      <c r="Z15" s="45">
        <v>12.5</v>
      </c>
      <c r="AA15" s="45">
        <v>12.5</v>
      </c>
      <c r="AB15" s="45">
        <v>12.5</v>
      </c>
      <c r="AC15" s="45">
        <v>12.5</v>
      </c>
      <c r="AD15" s="45">
        <v>12.5</v>
      </c>
      <c r="AE15" s="45">
        <v>12.5</v>
      </c>
      <c r="AF15" s="45">
        <v>12.5</v>
      </c>
      <c r="AG15" s="50">
        <v>36</v>
      </c>
      <c r="AH15" s="47">
        <f t="shared" si="2"/>
        <v>12.6</v>
      </c>
      <c r="AI15" s="48">
        <f t="shared" si="3"/>
        <v>12.5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7.8</v>
      </c>
      <c r="C16" s="45">
        <v>7.1</v>
      </c>
      <c r="D16" s="45">
        <v>7.3</v>
      </c>
      <c r="E16" s="45">
        <v>7.3</v>
      </c>
      <c r="F16" s="45">
        <v>7.3</v>
      </c>
      <c r="G16" s="45">
        <v>7.3</v>
      </c>
      <c r="H16" s="45">
        <v>7.3</v>
      </c>
      <c r="I16" s="45">
        <v>7.3</v>
      </c>
      <c r="J16" s="45">
        <v>7.3</v>
      </c>
      <c r="K16" s="45">
        <v>7.3</v>
      </c>
      <c r="L16" s="45">
        <v>7.3</v>
      </c>
      <c r="M16" s="45">
        <v>7.3</v>
      </c>
      <c r="N16" s="45">
        <v>7.3</v>
      </c>
      <c r="O16" s="45">
        <v>7.3</v>
      </c>
      <c r="P16" s="45">
        <v>7.3</v>
      </c>
      <c r="Q16" s="45">
        <v>7.3</v>
      </c>
      <c r="R16" s="45">
        <v>7.3</v>
      </c>
      <c r="S16" s="45">
        <v>7.6</v>
      </c>
      <c r="T16" s="45">
        <v>7.6</v>
      </c>
      <c r="U16" s="45">
        <v>7.6</v>
      </c>
      <c r="V16" s="45">
        <v>7.6</v>
      </c>
      <c r="W16" s="45">
        <v>7.6</v>
      </c>
      <c r="X16" s="45">
        <v>7.6</v>
      </c>
      <c r="Y16" s="45">
        <v>7.6</v>
      </c>
      <c r="Z16" s="45">
        <v>7.6</v>
      </c>
      <c r="AA16" s="45">
        <v>7.6</v>
      </c>
      <c r="AB16" s="45">
        <v>7.6</v>
      </c>
      <c r="AC16" s="45">
        <v>7.6</v>
      </c>
      <c r="AD16" s="45">
        <v>7.6</v>
      </c>
      <c r="AE16" s="45">
        <v>7.6</v>
      </c>
      <c r="AF16" s="45">
        <v>7.6</v>
      </c>
      <c r="AG16" s="51">
        <v>30</v>
      </c>
      <c r="AH16" s="47">
        <f t="shared" si="2"/>
        <v>7.8</v>
      </c>
      <c r="AI16" s="48">
        <f t="shared" si="3"/>
        <v>7.1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7.9</v>
      </c>
      <c r="C17" s="45">
        <v>6.8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7.9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9.8000000000000007</v>
      </c>
      <c r="E20" s="45">
        <v>9.8000000000000007</v>
      </c>
      <c r="F20" s="45">
        <v>9.8000000000000007</v>
      </c>
      <c r="G20" s="45">
        <v>9.8000000000000007</v>
      </c>
      <c r="H20" s="45">
        <v>9.8000000000000007</v>
      </c>
      <c r="I20" s="45">
        <v>9.8000000000000007</v>
      </c>
      <c r="J20" s="45">
        <v>9.8000000000000007</v>
      </c>
      <c r="K20" s="45">
        <v>9.8000000000000007</v>
      </c>
      <c r="L20" s="45">
        <v>9.8000000000000007</v>
      </c>
      <c r="M20" s="45">
        <v>9.8000000000000007</v>
      </c>
      <c r="N20" s="45">
        <v>9.8000000000000007</v>
      </c>
      <c r="O20" s="45">
        <v>9.8000000000000007</v>
      </c>
      <c r="P20" s="45">
        <v>9.8000000000000007</v>
      </c>
      <c r="Q20" s="45">
        <v>9.8000000000000007</v>
      </c>
      <c r="R20" s="45">
        <v>9.8000000000000007</v>
      </c>
      <c r="S20" s="45">
        <v>9.8000000000000007</v>
      </c>
      <c r="T20" s="45">
        <v>9.8000000000000007</v>
      </c>
      <c r="U20" s="45">
        <v>9.8000000000000007</v>
      </c>
      <c r="V20" s="45">
        <v>9.8000000000000007</v>
      </c>
      <c r="W20" s="45">
        <v>9.8000000000000007</v>
      </c>
      <c r="X20" s="45">
        <v>9.8000000000000007</v>
      </c>
      <c r="Y20" s="45">
        <v>9.8000000000000007</v>
      </c>
      <c r="Z20" s="45">
        <v>9.8000000000000007</v>
      </c>
      <c r="AA20" s="45">
        <v>9.8000000000000007</v>
      </c>
      <c r="AB20" s="45">
        <v>9.8000000000000007</v>
      </c>
      <c r="AC20" s="45">
        <v>9.8000000000000007</v>
      </c>
      <c r="AD20" s="45">
        <v>9.8000000000000007</v>
      </c>
      <c r="AE20" s="45">
        <v>9.8000000000000007</v>
      </c>
      <c r="AF20" s="45">
        <v>9.8000000000000007</v>
      </c>
      <c r="AG20" s="50">
        <v>25</v>
      </c>
      <c r="AH20" s="47">
        <f t="shared" si="2"/>
        <v>9.8000000000000007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50">
        <v>23.5</v>
      </c>
      <c r="AH24" s="47">
        <f t="shared" si="2"/>
        <v>6.7</v>
      </c>
      <c r="AI24" s="48">
        <f t="shared" si="3"/>
        <v>6.7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</v>
      </c>
      <c r="C28" s="45">
        <v>9</v>
      </c>
      <c r="D28" s="45">
        <v>9</v>
      </c>
      <c r="E28" s="45">
        <v>9</v>
      </c>
      <c r="F28" s="45">
        <v>9</v>
      </c>
      <c r="G28" s="45">
        <v>9</v>
      </c>
      <c r="H28" s="45">
        <v>9</v>
      </c>
      <c r="I28" s="45">
        <v>9</v>
      </c>
      <c r="J28" s="45">
        <v>9</v>
      </c>
      <c r="K28" s="45">
        <v>9</v>
      </c>
      <c r="L28" s="45">
        <v>9</v>
      </c>
      <c r="M28" s="45">
        <v>9</v>
      </c>
      <c r="N28" s="45">
        <v>9</v>
      </c>
      <c r="O28" s="45">
        <v>9</v>
      </c>
      <c r="P28" s="45">
        <v>9</v>
      </c>
      <c r="Q28" s="45">
        <v>9</v>
      </c>
      <c r="R28" s="45">
        <v>9</v>
      </c>
      <c r="S28" s="45">
        <v>9</v>
      </c>
      <c r="T28" s="45">
        <v>9</v>
      </c>
      <c r="U28" s="45">
        <v>9</v>
      </c>
      <c r="V28" s="45">
        <v>9</v>
      </c>
      <c r="W28" s="45">
        <v>9</v>
      </c>
      <c r="X28" s="45">
        <v>9</v>
      </c>
      <c r="Y28" s="45">
        <v>9</v>
      </c>
      <c r="Z28" s="45">
        <v>9</v>
      </c>
      <c r="AA28" s="45">
        <v>9</v>
      </c>
      <c r="AB28" s="45">
        <v>9</v>
      </c>
      <c r="AC28" s="45">
        <v>9</v>
      </c>
      <c r="AD28" s="45">
        <v>9</v>
      </c>
      <c r="AE28" s="45">
        <v>9</v>
      </c>
      <c r="AF28" s="45">
        <v>9</v>
      </c>
      <c r="AG28" s="50">
        <v>22</v>
      </c>
      <c r="AH28" s="47">
        <f t="shared" si="2"/>
        <v>9</v>
      </c>
      <c r="AI28" s="48">
        <f t="shared" si="3"/>
        <v>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0">
        <v>12</v>
      </c>
      <c r="AH35" s="47">
        <f t="shared" si="2"/>
        <v>7</v>
      </c>
      <c r="AI35" s="48">
        <f t="shared" si="3"/>
        <v>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358.79999999999995</v>
      </c>
      <c r="C44" s="60">
        <f t="shared" ref="C44:AG44" si="5">SUM(C11:C42)</f>
        <v>360.1</v>
      </c>
      <c r="D44" s="60">
        <f t="shared" si="5"/>
        <v>360.29999999999995</v>
      </c>
      <c r="E44" s="60">
        <f t="shared" si="5"/>
        <v>360.29999999999995</v>
      </c>
      <c r="F44" s="60">
        <f t="shared" si="5"/>
        <v>360.29999999999995</v>
      </c>
      <c r="G44" s="60">
        <f t="shared" si="5"/>
        <v>360.29999999999995</v>
      </c>
      <c r="H44" s="60">
        <f t="shared" si="5"/>
        <v>360.29999999999995</v>
      </c>
      <c r="I44" s="60">
        <f t="shared" si="5"/>
        <v>360.29999999999995</v>
      </c>
      <c r="J44" s="60">
        <f t="shared" si="5"/>
        <v>360.29999999999995</v>
      </c>
      <c r="K44" s="60">
        <f t="shared" si="5"/>
        <v>360.29999999999995</v>
      </c>
      <c r="L44" s="60">
        <f t="shared" si="5"/>
        <v>360.29999999999995</v>
      </c>
      <c r="M44" s="60">
        <f t="shared" si="5"/>
        <v>360.29999999999995</v>
      </c>
      <c r="N44" s="60">
        <f t="shared" si="5"/>
        <v>360.29999999999995</v>
      </c>
      <c r="O44" s="60">
        <f t="shared" si="5"/>
        <v>356.2</v>
      </c>
      <c r="P44" s="60">
        <f t="shared" si="5"/>
        <v>356.2</v>
      </c>
      <c r="Q44" s="60">
        <f t="shared" si="5"/>
        <v>356.2</v>
      </c>
      <c r="R44" s="60">
        <f t="shared" si="5"/>
        <v>356.59999999999997</v>
      </c>
      <c r="S44" s="60">
        <f t="shared" si="5"/>
        <v>355.4</v>
      </c>
      <c r="T44" s="60">
        <f t="shared" si="5"/>
        <v>355.4</v>
      </c>
      <c r="U44" s="60">
        <f t="shared" si="5"/>
        <v>355.4</v>
      </c>
      <c r="V44" s="60">
        <f t="shared" si="5"/>
        <v>355.4</v>
      </c>
      <c r="W44" s="60">
        <f t="shared" si="5"/>
        <v>357</v>
      </c>
      <c r="X44" s="60">
        <f t="shared" si="5"/>
        <v>357</v>
      </c>
      <c r="Y44" s="60">
        <v>357</v>
      </c>
      <c r="Z44" s="60">
        <f t="shared" si="5"/>
        <v>357</v>
      </c>
      <c r="AA44" s="60">
        <f t="shared" si="5"/>
        <v>357</v>
      </c>
      <c r="AB44" s="60">
        <f t="shared" si="5"/>
        <v>357</v>
      </c>
      <c r="AC44" s="60">
        <f t="shared" si="5"/>
        <v>357</v>
      </c>
      <c r="AD44" s="60">
        <f t="shared" si="5"/>
        <v>357</v>
      </c>
      <c r="AE44" s="60">
        <f t="shared" si="5"/>
        <v>357</v>
      </c>
      <c r="AF44" s="60">
        <f t="shared" si="5"/>
        <v>357</v>
      </c>
      <c r="AG44" s="61">
        <f t="shared" si="5"/>
        <v>814.78000000000009</v>
      </c>
      <c r="AH44" s="47">
        <f t="shared" si="2"/>
        <v>360.29999999999995</v>
      </c>
      <c r="AI44" s="48">
        <f t="shared" si="3"/>
        <v>355.4</v>
      </c>
      <c r="AK44" s="49"/>
    </row>
    <row r="45" spans="1:88" x14ac:dyDescent="0.25">
      <c r="A45" s="62" t="s">
        <v>53</v>
      </c>
      <c r="B45" s="45">
        <v>15</v>
      </c>
      <c r="C45" s="45">
        <v>15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75</v>
      </c>
      <c r="J45" s="45">
        <v>170</v>
      </c>
      <c r="K45" s="45">
        <v>270</v>
      </c>
      <c r="L45" s="45">
        <v>270</v>
      </c>
      <c r="M45" s="45">
        <v>338</v>
      </c>
      <c r="N45" s="63">
        <v>180</v>
      </c>
      <c r="O45" s="45">
        <v>40</v>
      </c>
      <c r="P45" s="45">
        <v>80</v>
      </c>
      <c r="Q45" s="45">
        <v>90</v>
      </c>
      <c r="R45" s="45">
        <v>80</v>
      </c>
      <c r="S45" s="45">
        <v>30</v>
      </c>
      <c r="T45" s="45">
        <v>25</v>
      </c>
      <c r="U45" s="45">
        <v>25</v>
      </c>
      <c r="V45" s="45">
        <v>50</v>
      </c>
      <c r="W45" s="45">
        <v>30</v>
      </c>
      <c r="X45" s="45">
        <v>15</v>
      </c>
      <c r="Y45" s="45">
        <v>80</v>
      </c>
      <c r="Z45" s="45">
        <v>180</v>
      </c>
      <c r="AA45" s="45">
        <v>180</v>
      </c>
      <c r="AB45" s="45">
        <v>85</v>
      </c>
      <c r="AC45" s="45">
        <v>40</v>
      </c>
      <c r="AD45" s="45">
        <v>40</v>
      </c>
      <c r="AE45" s="45">
        <v>20</v>
      </c>
      <c r="AF45" s="45">
        <v>0</v>
      </c>
      <c r="AG45" s="51">
        <v>456</v>
      </c>
      <c r="AH45" s="47">
        <f t="shared" si="2"/>
        <v>338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27</v>
      </c>
      <c r="C46" s="65">
        <v>27</v>
      </c>
      <c r="D46" s="65">
        <v>27</v>
      </c>
      <c r="E46" s="65">
        <v>27</v>
      </c>
      <c r="F46" s="65">
        <v>27</v>
      </c>
      <c r="G46" s="65">
        <v>27</v>
      </c>
      <c r="H46" s="65">
        <v>27</v>
      </c>
      <c r="I46" s="65">
        <v>27</v>
      </c>
      <c r="J46" s="65">
        <v>27</v>
      </c>
      <c r="K46" s="65">
        <v>27</v>
      </c>
      <c r="L46" s="65">
        <v>27</v>
      </c>
      <c r="M46" s="65">
        <v>27</v>
      </c>
      <c r="N46" s="65">
        <v>27</v>
      </c>
      <c r="O46" s="65">
        <v>27</v>
      </c>
      <c r="P46" s="65">
        <v>27</v>
      </c>
      <c r="Q46" s="65">
        <v>27</v>
      </c>
      <c r="R46" s="65">
        <v>25</v>
      </c>
      <c r="S46" s="65">
        <v>25</v>
      </c>
      <c r="T46" s="65">
        <v>25</v>
      </c>
      <c r="U46" s="65">
        <v>25</v>
      </c>
      <c r="V46" s="65">
        <v>25</v>
      </c>
      <c r="W46" s="65">
        <v>25</v>
      </c>
      <c r="X46" s="65">
        <v>25</v>
      </c>
      <c r="Y46" s="65">
        <v>25</v>
      </c>
      <c r="Z46" s="65">
        <v>25</v>
      </c>
      <c r="AA46" s="65">
        <v>25</v>
      </c>
      <c r="AB46" s="65">
        <v>25</v>
      </c>
      <c r="AC46" s="65">
        <v>25</v>
      </c>
      <c r="AD46" s="65">
        <v>25</v>
      </c>
      <c r="AE46" s="65">
        <v>25</v>
      </c>
      <c r="AF46" s="65">
        <v>25</v>
      </c>
      <c r="AG46" s="54">
        <v>60</v>
      </c>
      <c r="AH46" s="47">
        <f t="shared" si="2"/>
        <v>27</v>
      </c>
      <c r="AI46" s="48">
        <f t="shared" si="3"/>
        <v>25</v>
      </c>
      <c r="AK46" s="49"/>
    </row>
    <row r="47" spans="1:88" ht="15.75" thickBot="1" x14ac:dyDescent="0.3">
      <c r="A47" s="66" t="s">
        <v>55</v>
      </c>
      <c r="B47" s="67">
        <v>11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</v>
      </c>
      <c r="I47" s="67">
        <v>10.199999999999999</v>
      </c>
      <c r="J47" s="67">
        <v>11.1</v>
      </c>
      <c r="K47" s="67">
        <v>11.2</v>
      </c>
      <c r="L47" s="67">
        <v>11.2</v>
      </c>
      <c r="M47" s="67">
        <v>11.2</v>
      </c>
      <c r="N47" s="67">
        <v>11.2</v>
      </c>
      <c r="O47" s="67">
        <v>11.2</v>
      </c>
      <c r="P47" s="67">
        <v>11.2</v>
      </c>
      <c r="Q47" s="67">
        <v>11.2</v>
      </c>
      <c r="R47" s="67">
        <v>11.2</v>
      </c>
      <c r="S47" s="67">
        <v>11.2</v>
      </c>
      <c r="T47" s="67">
        <v>11.2</v>
      </c>
      <c r="U47" s="67">
        <v>11.2</v>
      </c>
      <c r="V47" s="67">
        <v>11.2</v>
      </c>
      <c r="W47" s="67">
        <v>11.2</v>
      </c>
      <c r="X47" s="67">
        <v>11.2</v>
      </c>
      <c r="Y47" s="67">
        <v>11.2</v>
      </c>
      <c r="Z47" s="67">
        <v>14.7</v>
      </c>
      <c r="AA47" s="67">
        <v>14.7</v>
      </c>
      <c r="AB47" s="67">
        <v>14.7</v>
      </c>
      <c r="AC47" s="67">
        <v>14.7</v>
      </c>
      <c r="AD47" s="67">
        <v>14.7</v>
      </c>
      <c r="AE47" s="67">
        <v>14.7</v>
      </c>
      <c r="AF47" s="67">
        <v>14.7</v>
      </c>
      <c r="AG47" s="68">
        <v>22.1</v>
      </c>
      <c r="AH47" s="47">
        <f t="shared" si="2"/>
        <v>14.7</v>
      </c>
      <c r="AI47" s="48">
        <f t="shared" si="3"/>
        <v>10.1</v>
      </c>
      <c r="AK47" s="49"/>
    </row>
    <row r="48" spans="1:88" ht="15.75" thickBot="1" x14ac:dyDescent="0.3">
      <c r="A48" s="69" t="s">
        <v>56</v>
      </c>
      <c r="B48" s="60">
        <f t="shared" ref="B48" si="6">SUM(B45:B47)</f>
        <v>53</v>
      </c>
      <c r="C48" s="60">
        <f t="shared" ref="C48:AG48" si="7">SUM(C45:C47)</f>
        <v>52.2</v>
      </c>
      <c r="D48" s="60">
        <f t="shared" si="7"/>
        <v>37.200000000000003</v>
      </c>
      <c r="E48" s="60">
        <f t="shared" si="7"/>
        <v>37.200000000000003</v>
      </c>
      <c r="F48" s="60">
        <f t="shared" si="7"/>
        <v>37.200000000000003</v>
      </c>
      <c r="G48" s="60">
        <f t="shared" si="7"/>
        <v>37.200000000000003</v>
      </c>
      <c r="H48" s="60">
        <f t="shared" si="7"/>
        <v>37.1</v>
      </c>
      <c r="I48" s="60">
        <f t="shared" si="7"/>
        <v>112.2</v>
      </c>
      <c r="J48" s="60">
        <f t="shared" si="7"/>
        <v>208.1</v>
      </c>
      <c r="K48" s="60">
        <f t="shared" si="7"/>
        <v>308.2</v>
      </c>
      <c r="L48" s="60">
        <f t="shared" si="7"/>
        <v>308.2</v>
      </c>
      <c r="M48" s="60">
        <f t="shared" si="7"/>
        <v>376.2</v>
      </c>
      <c r="N48" s="60">
        <f t="shared" si="7"/>
        <v>218.2</v>
      </c>
      <c r="O48" s="60">
        <f t="shared" si="7"/>
        <v>78.2</v>
      </c>
      <c r="P48" s="60">
        <f t="shared" si="7"/>
        <v>118.2</v>
      </c>
      <c r="Q48" s="60">
        <f t="shared" si="7"/>
        <v>128.19999999999999</v>
      </c>
      <c r="R48" s="60">
        <f t="shared" si="7"/>
        <v>116.2</v>
      </c>
      <c r="S48" s="60">
        <f t="shared" si="7"/>
        <v>66.2</v>
      </c>
      <c r="T48" s="60">
        <f t="shared" si="7"/>
        <v>61.2</v>
      </c>
      <c r="U48" s="60">
        <f t="shared" si="7"/>
        <v>61.2</v>
      </c>
      <c r="V48" s="60">
        <f t="shared" si="7"/>
        <v>86.2</v>
      </c>
      <c r="W48" s="60">
        <f t="shared" si="7"/>
        <v>66.2</v>
      </c>
      <c r="X48" s="60">
        <f t="shared" si="7"/>
        <v>51.2</v>
      </c>
      <c r="Y48" s="60">
        <v>116.2</v>
      </c>
      <c r="Z48" s="60">
        <f t="shared" si="7"/>
        <v>219.7</v>
      </c>
      <c r="AA48" s="60">
        <f t="shared" si="7"/>
        <v>219.7</v>
      </c>
      <c r="AB48" s="60">
        <f t="shared" si="7"/>
        <v>124.7</v>
      </c>
      <c r="AC48" s="60">
        <f t="shared" si="7"/>
        <v>79.7</v>
      </c>
      <c r="AD48" s="60">
        <f t="shared" si="7"/>
        <v>79.7</v>
      </c>
      <c r="AE48" s="60">
        <f t="shared" si="7"/>
        <v>59.7</v>
      </c>
      <c r="AF48" s="60">
        <f t="shared" si="7"/>
        <v>39.700000000000003</v>
      </c>
      <c r="AG48" s="61">
        <f t="shared" si="7"/>
        <v>538.1</v>
      </c>
      <c r="AH48" s="47">
        <f t="shared" si="2"/>
        <v>376.2</v>
      </c>
      <c r="AI48" s="48">
        <f t="shared" si="3"/>
        <v>37.1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20</v>
      </c>
      <c r="H49" s="45">
        <v>28.5</v>
      </c>
      <c r="I49" s="45">
        <v>90</v>
      </c>
      <c r="J49" s="45">
        <v>94.2</v>
      </c>
      <c r="K49" s="45">
        <v>81.2</v>
      </c>
      <c r="L49" s="45">
        <v>81.2</v>
      </c>
      <c r="M49" s="45">
        <v>81</v>
      </c>
      <c r="N49" s="45">
        <v>81</v>
      </c>
      <c r="O49" s="45">
        <v>81.400000000000006</v>
      </c>
      <c r="P49" s="45">
        <v>73.3</v>
      </c>
      <c r="Q49" s="45">
        <v>73.3</v>
      </c>
      <c r="R49" s="45">
        <v>61.1</v>
      </c>
      <c r="S49" s="45">
        <v>79.8</v>
      </c>
      <c r="T49" s="45">
        <v>84</v>
      </c>
      <c r="U49" s="45">
        <v>94.2</v>
      </c>
      <c r="V49" s="45">
        <v>81.900000000000006</v>
      </c>
      <c r="W49" s="45">
        <v>61.1</v>
      </c>
      <c r="X49" s="45">
        <v>93.7</v>
      </c>
      <c r="Y49" s="45">
        <v>139.4</v>
      </c>
      <c r="Z49" s="45">
        <v>138.5</v>
      </c>
      <c r="AA49" s="45">
        <v>111.8</v>
      </c>
      <c r="AB49" s="45">
        <v>82</v>
      </c>
      <c r="AC49" s="45">
        <v>30.6</v>
      </c>
      <c r="AD49" s="45">
        <v>30.6</v>
      </c>
      <c r="AE49" s="45">
        <v>30.6</v>
      </c>
      <c r="AF49" s="45">
        <v>30.6</v>
      </c>
      <c r="AG49" s="51">
        <v>144</v>
      </c>
      <c r="AH49" s="47">
        <f t="shared" si="2"/>
        <v>139.4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24.6</v>
      </c>
      <c r="E50" s="65">
        <v>24.4</v>
      </c>
      <c r="F50" s="65">
        <v>25.3</v>
      </c>
      <c r="G50" s="65">
        <v>24.6</v>
      </c>
      <c r="H50" s="65">
        <v>25.9</v>
      </c>
      <c r="I50" s="65">
        <v>68.900000000000006</v>
      </c>
      <c r="J50" s="65">
        <v>71.3</v>
      </c>
      <c r="K50" s="65">
        <v>54.9</v>
      </c>
      <c r="L50" s="65">
        <v>54.9</v>
      </c>
      <c r="M50" s="65">
        <v>54.9</v>
      </c>
      <c r="N50" s="65">
        <v>55</v>
      </c>
      <c r="O50" s="65">
        <v>47.6</v>
      </c>
      <c r="P50" s="65">
        <v>26</v>
      </c>
      <c r="Q50" s="65">
        <v>26</v>
      </c>
      <c r="R50" s="45">
        <v>25.2</v>
      </c>
      <c r="S50" s="45">
        <v>29.4</v>
      </c>
      <c r="T50" s="45">
        <v>26.4</v>
      </c>
      <c r="U50" s="45">
        <v>34.299999999999997</v>
      </c>
      <c r="V50" s="45">
        <v>0</v>
      </c>
      <c r="W50" s="45">
        <v>0</v>
      </c>
      <c r="X50" s="45">
        <v>0</v>
      </c>
      <c r="Y50" s="45">
        <v>58.8</v>
      </c>
      <c r="Z50" s="45">
        <v>59.9</v>
      </c>
      <c r="AA50" s="45">
        <v>50.7</v>
      </c>
      <c r="AB50" s="45">
        <v>24</v>
      </c>
      <c r="AC50" s="45">
        <v>22.5</v>
      </c>
      <c r="AD50" s="45">
        <v>0</v>
      </c>
      <c r="AE50" s="45">
        <v>0</v>
      </c>
      <c r="AF50" s="45">
        <v>0</v>
      </c>
      <c r="AG50" s="54">
        <v>70</v>
      </c>
      <c r="AH50" s="47">
        <f t="shared" si="2"/>
        <v>71.3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32</v>
      </c>
      <c r="C51" s="65">
        <v>34.200000000000003</v>
      </c>
      <c r="D51" s="65">
        <v>17</v>
      </c>
      <c r="E51" s="65">
        <v>17.2</v>
      </c>
      <c r="F51" s="65">
        <v>17.2</v>
      </c>
      <c r="G51" s="65">
        <v>34.799999999999997</v>
      </c>
      <c r="H51" s="65">
        <v>32.9</v>
      </c>
      <c r="I51" s="65">
        <v>47.3</v>
      </c>
      <c r="J51" s="65">
        <v>47.3</v>
      </c>
      <c r="K51" s="65">
        <v>40.700000000000003</v>
      </c>
      <c r="L51" s="65">
        <v>40.700000000000003</v>
      </c>
      <c r="M51" s="65">
        <v>40.700000000000003</v>
      </c>
      <c r="N51" s="65">
        <v>40.700000000000003</v>
      </c>
      <c r="O51" s="65">
        <v>34.799999999999997</v>
      </c>
      <c r="P51" s="65">
        <v>34</v>
      </c>
      <c r="Q51" s="65">
        <v>34</v>
      </c>
      <c r="R51" s="45">
        <v>34.6</v>
      </c>
      <c r="S51" s="45">
        <v>22.7</v>
      </c>
      <c r="T51" s="45">
        <v>22.9</v>
      </c>
      <c r="U51" s="45">
        <v>45.2</v>
      </c>
      <c r="V51" s="45">
        <v>45.4</v>
      </c>
      <c r="W51" s="45">
        <v>33.200000000000003</v>
      </c>
      <c r="X51" s="45">
        <v>46.5</v>
      </c>
      <c r="Y51" s="45">
        <v>68.900000000000006</v>
      </c>
      <c r="Z51" s="45">
        <v>68.7</v>
      </c>
      <c r="AA51" s="45">
        <v>62</v>
      </c>
      <c r="AB51" s="45">
        <v>55</v>
      </c>
      <c r="AC51" s="45">
        <v>55</v>
      </c>
      <c r="AD51" s="45">
        <v>53.7</v>
      </c>
      <c r="AE51" s="45">
        <v>53.7</v>
      </c>
      <c r="AF51" s="45">
        <v>16.399999999999999</v>
      </c>
      <c r="AG51" s="54">
        <v>69</v>
      </c>
      <c r="AH51" s="47">
        <f t="shared" si="2"/>
        <v>68.900000000000006</v>
      </c>
      <c r="AI51" s="48">
        <f t="shared" si="3"/>
        <v>16.399999999999999</v>
      </c>
      <c r="AK51" s="49"/>
    </row>
    <row r="52" spans="1:41" x14ac:dyDescent="0.25">
      <c r="A52" s="53" t="s">
        <v>60</v>
      </c>
      <c r="B52" s="65">
        <v>44.3</v>
      </c>
      <c r="C52" s="56">
        <v>43.1</v>
      </c>
      <c r="D52" s="56">
        <v>43.1</v>
      </c>
      <c r="E52" s="56">
        <v>43.1</v>
      </c>
      <c r="F52" s="56">
        <v>43.1</v>
      </c>
      <c r="G52" s="56">
        <v>43.1</v>
      </c>
      <c r="H52" s="56">
        <v>43.1</v>
      </c>
      <c r="I52" s="56">
        <v>43.1</v>
      </c>
      <c r="J52" s="56">
        <v>43.1</v>
      </c>
      <c r="K52" s="56">
        <v>43.3</v>
      </c>
      <c r="L52" s="56">
        <v>43.3</v>
      </c>
      <c r="M52" s="56">
        <v>43.3</v>
      </c>
      <c r="N52" s="56">
        <v>43.3</v>
      </c>
      <c r="O52" s="65">
        <v>41.1</v>
      </c>
      <c r="P52" s="65">
        <v>41.1</v>
      </c>
      <c r="Q52" s="65">
        <v>41.1</v>
      </c>
      <c r="R52" s="45">
        <v>42.8</v>
      </c>
      <c r="S52" s="45">
        <v>42.8</v>
      </c>
      <c r="T52" s="45">
        <v>42.8</v>
      </c>
      <c r="U52" s="45">
        <v>42.8</v>
      </c>
      <c r="V52" s="45">
        <v>40.299999999999997</v>
      </c>
      <c r="W52" s="45">
        <v>40.299999999999997</v>
      </c>
      <c r="X52" s="65">
        <v>40.299999999999997</v>
      </c>
      <c r="Y52" s="65">
        <v>42.3</v>
      </c>
      <c r="Z52" s="65">
        <v>42.3</v>
      </c>
      <c r="AA52" s="65">
        <v>42.3</v>
      </c>
      <c r="AB52" s="65">
        <v>42.3</v>
      </c>
      <c r="AC52" s="65">
        <v>40</v>
      </c>
      <c r="AD52" s="65">
        <v>40</v>
      </c>
      <c r="AE52" s="65">
        <v>40</v>
      </c>
      <c r="AF52" s="65">
        <v>46.4</v>
      </c>
      <c r="AG52" s="54">
        <v>60</v>
      </c>
      <c r="AH52" s="47">
        <f t="shared" si="2"/>
        <v>46.4</v>
      </c>
      <c r="AI52" s="48">
        <f t="shared" si="3"/>
        <v>40</v>
      </c>
      <c r="AK52" s="49"/>
    </row>
    <row r="53" spans="1:41" x14ac:dyDescent="0.25">
      <c r="A53" s="53" t="s">
        <v>61</v>
      </c>
      <c r="B53" s="65">
        <v>13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13</v>
      </c>
      <c r="K53" s="56">
        <v>13</v>
      </c>
      <c r="L53" s="56">
        <v>13</v>
      </c>
      <c r="M53" s="56">
        <v>13</v>
      </c>
      <c r="N53" s="56">
        <v>13</v>
      </c>
      <c r="O53" s="65">
        <v>13</v>
      </c>
      <c r="P53" s="65">
        <v>13</v>
      </c>
      <c r="Q53" s="65">
        <v>13</v>
      </c>
      <c r="R53" s="45">
        <v>13</v>
      </c>
      <c r="S53" s="45">
        <v>13</v>
      </c>
      <c r="T53" s="45">
        <v>13</v>
      </c>
      <c r="U53" s="45">
        <v>0</v>
      </c>
      <c r="V53" s="45">
        <v>0</v>
      </c>
      <c r="W53" s="45">
        <v>0</v>
      </c>
      <c r="X53" s="45">
        <v>0</v>
      </c>
      <c r="Y53" s="65">
        <v>14.4</v>
      </c>
      <c r="Z53" s="65">
        <v>30</v>
      </c>
      <c r="AA53" s="65">
        <v>25</v>
      </c>
      <c r="AB53" s="65">
        <v>15</v>
      </c>
      <c r="AC53" s="65">
        <v>15</v>
      </c>
      <c r="AD53" s="65">
        <v>15</v>
      </c>
      <c r="AE53" s="65">
        <v>15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65">
        <v>5</v>
      </c>
      <c r="P54" s="65">
        <v>5</v>
      </c>
      <c r="Q54" s="65">
        <v>5</v>
      </c>
      <c r="R54" s="45">
        <v>5</v>
      </c>
      <c r="S54" s="45">
        <v>5</v>
      </c>
      <c r="T54" s="45">
        <v>5</v>
      </c>
      <c r="U54" s="45">
        <v>5</v>
      </c>
      <c r="V54" s="45">
        <v>0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5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13</v>
      </c>
      <c r="C55" s="65">
        <v>13</v>
      </c>
      <c r="D55" s="65">
        <v>13</v>
      </c>
      <c r="E55" s="65">
        <v>13</v>
      </c>
      <c r="F55" s="65">
        <v>13</v>
      </c>
      <c r="G55" s="65">
        <v>13</v>
      </c>
      <c r="H55" s="65">
        <v>13</v>
      </c>
      <c r="I55" s="65">
        <v>13</v>
      </c>
      <c r="J55" s="65">
        <v>13</v>
      </c>
      <c r="K55" s="65">
        <v>13</v>
      </c>
      <c r="L55" s="65">
        <v>13</v>
      </c>
      <c r="M55" s="65">
        <v>13</v>
      </c>
      <c r="N55" s="65">
        <v>13</v>
      </c>
      <c r="O55" s="65">
        <v>16.2</v>
      </c>
      <c r="P55" s="65">
        <v>16.2</v>
      </c>
      <c r="Q55" s="65">
        <v>16.2</v>
      </c>
      <c r="R55" s="45">
        <v>16</v>
      </c>
      <c r="S55" s="45">
        <v>16</v>
      </c>
      <c r="T55" s="45">
        <v>16</v>
      </c>
      <c r="U55" s="45">
        <v>16</v>
      </c>
      <c r="V55" s="45">
        <v>14</v>
      </c>
      <c r="W55" s="45">
        <v>14</v>
      </c>
      <c r="X55" s="45">
        <v>14</v>
      </c>
      <c r="Y55" s="65">
        <v>14</v>
      </c>
      <c r="Z55" s="65">
        <v>14</v>
      </c>
      <c r="AA55" s="65">
        <v>14</v>
      </c>
      <c r="AB55" s="65">
        <v>14</v>
      </c>
      <c r="AC55" s="65">
        <v>14</v>
      </c>
      <c r="AD55" s="65">
        <v>14</v>
      </c>
      <c r="AE55" s="65">
        <v>14</v>
      </c>
      <c r="AF55" s="65">
        <v>14</v>
      </c>
      <c r="AG55" s="54">
        <v>24</v>
      </c>
      <c r="AH55" s="47">
        <f t="shared" si="2"/>
        <v>16.2</v>
      </c>
      <c r="AI55" s="48">
        <f t="shared" si="3"/>
        <v>13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45">
        <v>3.2</v>
      </c>
      <c r="S56" s="45">
        <v>3.2</v>
      </c>
      <c r="T56" s="45">
        <v>3.2</v>
      </c>
      <c r="U56" s="45">
        <v>3.2</v>
      </c>
      <c r="V56" s="45">
        <v>3.2</v>
      </c>
      <c r="W56" s="45">
        <v>3.2</v>
      </c>
      <c r="X56" s="4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9.3000000000000007</v>
      </c>
      <c r="C57" s="65">
        <v>9.3000000000000007</v>
      </c>
      <c r="D57" s="65">
        <v>9.3000000000000007</v>
      </c>
      <c r="E57" s="65">
        <v>9.3000000000000007</v>
      </c>
      <c r="F57" s="65">
        <v>9.3000000000000007</v>
      </c>
      <c r="G57" s="65">
        <v>9.3000000000000007</v>
      </c>
      <c r="H57" s="65">
        <v>9.3000000000000007</v>
      </c>
      <c r="I57" s="65">
        <v>9.3000000000000007</v>
      </c>
      <c r="J57" s="65">
        <v>9.3000000000000007</v>
      </c>
      <c r="K57" s="65">
        <v>9.3000000000000007</v>
      </c>
      <c r="L57" s="65">
        <v>9.3000000000000007</v>
      </c>
      <c r="M57" s="65">
        <v>9.3000000000000007</v>
      </c>
      <c r="N57" s="65">
        <v>9.3000000000000007</v>
      </c>
      <c r="O57" s="65">
        <v>9.5</v>
      </c>
      <c r="P57" s="65">
        <v>9.5</v>
      </c>
      <c r="Q57" s="65">
        <v>9.5</v>
      </c>
      <c r="R57" s="65">
        <v>9.5</v>
      </c>
      <c r="S57" s="65">
        <v>9.5</v>
      </c>
      <c r="T57" s="65">
        <v>9.5</v>
      </c>
      <c r="U57" s="65">
        <v>9.5</v>
      </c>
      <c r="V57" s="65">
        <v>9.6999999999999993</v>
      </c>
      <c r="W57" s="65">
        <v>9.6999999999999993</v>
      </c>
      <c r="X57" s="65">
        <v>9.6999999999999993</v>
      </c>
      <c r="Y57" s="65">
        <v>9.6999999999999993</v>
      </c>
      <c r="Z57" s="65">
        <v>9.6999999999999993</v>
      </c>
      <c r="AA57" s="65">
        <v>9.6999999999999993</v>
      </c>
      <c r="AB57" s="65">
        <v>9.6999999999999993</v>
      </c>
      <c r="AC57" s="65">
        <v>9.6999999999999993</v>
      </c>
      <c r="AD57" s="65">
        <v>9.6999999999999993</v>
      </c>
      <c r="AE57" s="65">
        <v>9.6999999999999993</v>
      </c>
      <c r="AF57" s="65">
        <v>9.6999999999999993</v>
      </c>
      <c r="AG57" s="54">
        <v>14.1</v>
      </c>
      <c r="AH57" s="47">
        <f t="shared" si="2"/>
        <v>9.6999999999999993</v>
      </c>
      <c r="AI57" s="48">
        <f t="shared" si="3"/>
        <v>9.3000000000000007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5.0999999999999996</v>
      </c>
      <c r="C58" s="65">
        <v>5.0999999999999996</v>
      </c>
      <c r="D58" s="65">
        <v>5.0999999999999996</v>
      </c>
      <c r="E58" s="65">
        <v>5.0999999999999996</v>
      </c>
      <c r="F58" s="65">
        <v>5.0999999999999996</v>
      </c>
      <c r="G58" s="65">
        <v>5.0999999999999996</v>
      </c>
      <c r="H58" s="65">
        <v>5.0999999999999996</v>
      </c>
      <c r="I58" s="65">
        <v>5.0999999999999996</v>
      </c>
      <c r="J58" s="65">
        <v>5.0999999999999996</v>
      </c>
      <c r="K58" s="65">
        <v>5.0999999999999996</v>
      </c>
      <c r="L58" s="65">
        <v>5.0999999999999996</v>
      </c>
      <c r="M58" s="65">
        <v>5.0999999999999996</v>
      </c>
      <c r="N58" s="65">
        <v>5.0999999999999996</v>
      </c>
      <c r="O58" s="65">
        <v>5.0999999999999996</v>
      </c>
      <c r="P58" s="65">
        <v>5.0999999999999996</v>
      </c>
      <c r="Q58" s="65">
        <v>5.0999999999999996</v>
      </c>
      <c r="R58" s="65">
        <v>5.0999999999999996</v>
      </c>
      <c r="S58" s="65">
        <v>5.0999999999999996</v>
      </c>
      <c r="T58" s="65">
        <v>5.0999999999999996</v>
      </c>
      <c r="U58" s="65">
        <v>5.0999999999999996</v>
      </c>
      <c r="V58" s="65">
        <v>3</v>
      </c>
      <c r="W58" s="65">
        <v>3</v>
      </c>
      <c r="X58" s="65">
        <v>3</v>
      </c>
      <c r="Y58" s="65">
        <v>3</v>
      </c>
      <c r="Z58" s="65">
        <v>3</v>
      </c>
      <c r="AA58" s="65">
        <v>3</v>
      </c>
      <c r="AB58" s="65">
        <v>3</v>
      </c>
      <c r="AC58" s="65">
        <v>3</v>
      </c>
      <c r="AD58" s="65">
        <v>3</v>
      </c>
      <c r="AE58" s="65">
        <v>3</v>
      </c>
      <c r="AF58" s="65">
        <v>3</v>
      </c>
      <c r="AG58" s="54">
        <v>14</v>
      </c>
      <c r="AH58" s="47">
        <f t="shared" si="2"/>
        <v>5.0999999999999996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4.5</v>
      </c>
      <c r="C59" s="65">
        <v>4.5</v>
      </c>
      <c r="D59" s="65">
        <v>4.5</v>
      </c>
      <c r="E59" s="65">
        <v>4.5</v>
      </c>
      <c r="F59" s="65">
        <v>4.5</v>
      </c>
      <c r="G59" s="65">
        <v>4.5</v>
      </c>
      <c r="H59" s="65">
        <v>4.5</v>
      </c>
      <c r="I59" s="65">
        <v>4.5</v>
      </c>
      <c r="J59" s="65">
        <v>4.5</v>
      </c>
      <c r="K59" s="65">
        <v>4.5</v>
      </c>
      <c r="L59" s="65">
        <v>4.5</v>
      </c>
      <c r="M59" s="65">
        <v>4.5</v>
      </c>
      <c r="N59" s="65">
        <v>4.5</v>
      </c>
      <c r="O59" s="65">
        <v>4.5</v>
      </c>
      <c r="P59" s="65">
        <v>4.5</v>
      </c>
      <c r="Q59" s="65">
        <v>4.5</v>
      </c>
      <c r="R59" s="65">
        <v>4.5</v>
      </c>
      <c r="S59" s="65">
        <v>4.5</v>
      </c>
      <c r="T59" s="65">
        <v>4.5</v>
      </c>
      <c r="U59" s="65">
        <v>4.5</v>
      </c>
      <c r="V59" s="65">
        <v>4.5</v>
      </c>
      <c r="W59" s="65">
        <v>4.5</v>
      </c>
      <c r="X59" s="65">
        <v>4.5</v>
      </c>
      <c r="Y59" s="65">
        <v>4.5</v>
      </c>
      <c r="Z59" s="65">
        <v>4.5</v>
      </c>
      <c r="AA59" s="65">
        <v>4.5</v>
      </c>
      <c r="AB59" s="65">
        <v>4.5</v>
      </c>
      <c r="AC59" s="65">
        <v>4.5</v>
      </c>
      <c r="AD59" s="65">
        <v>4.5</v>
      </c>
      <c r="AE59" s="65">
        <v>4.5</v>
      </c>
      <c r="AF59" s="65">
        <v>4.5</v>
      </c>
      <c r="AG59" s="54">
        <v>10.050000000000001</v>
      </c>
      <c r="AH59" s="47">
        <f t="shared" si="2"/>
        <v>4.5</v>
      </c>
      <c r="AI59" s="48">
        <f t="shared" si="3"/>
        <v>4.5</v>
      </c>
      <c r="AK59" s="49"/>
    </row>
    <row r="60" spans="1:41" x14ac:dyDescent="0.25">
      <c r="A60" s="53" t="s">
        <v>68</v>
      </c>
      <c r="B60" s="65">
        <v>2.25</v>
      </c>
      <c r="C60" s="65">
        <v>2.25</v>
      </c>
      <c r="D60" s="65">
        <v>2.25</v>
      </c>
      <c r="E60" s="65">
        <v>2.25</v>
      </c>
      <c r="F60" s="65">
        <v>2.25</v>
      </c>
      <c r="G60" s="65">
        <v>2.25</v>
      </c>
      <c r="H60" s="65">
        <v>2.25</v>
      </c>
      <c r="I60" s="65">
        <v>2.25</v>
      </c>
      <c r="J60" s="65">
        <v>2.25</v>
      </c>
      <c r="K60" s="65">
        <v>2.25</v>
      </c>
      <c r="L60" s="65">
        <v>2.25</v>
      </c>
      <c r="M60" s="65">
        <v>2.25</v>
      </c>
      <c r="N60" s="65">
        <v>2.25</v>
      </c>
      <c r="O60" s="65">
        <v>2.25</v>
      </c>
      <c r="P60" s="65">
        <v>2.25</v>
      </c>
      <c r="Q60" s="65">
        <v>2.25</v>
      </c>
      <c r="R60" s="65">
        <v>2.2999999999999998</v>
      </c>
      <c r="S60" s="65">
        <v>2.2999999999999998</v>
      </c>
      <c r="T60" s="65">
        <v>2.2999999999999998</v>
      </c>
      <c r="U60" s="65">
        <v>2.2999999999999998</v>
      </c>
      <c r="V60" s="65">
        <v>2.2999999999999998</v>
      </c>
      <c r="W60" s="65">
        <v>2.2999999999999998</v>
      </c>
      <c r="X60" s="65">
        <v>2.2999999999999998</v>
      </c>
      <c r="Y60" s="65">
        <v>2.2999999999999998</v>
      </c>
      <c r="Z60" s="65">
        <v>2.2999999999999998</v>
      </c>
      <c r="AA60" s="65">
        <v>2.2999999999999998</v>
      </c>
      <c r="AB60" s="65">
        <v>2.2999999999999998</v>
      </c>
      <c r="AC60" s="65">
        <v>2.2999999999999998</v>
      </c>
      <c r="AD60" s="65">
        <v>2.2999999999999998</v>
      </c>
      <c r="AE60" s="65">
        <v>2.2999999999999998</v>
      </c>
      <c r="AF60" s="65">
        <v>2.2999999999999998</v>
      </c>
      <c r="AG60" s="54">
        <v>6.2</v>
      </c>
      <c r="AH60" s="47">
        <f t="shared" si="2"/>
        <v>2.2999999999999998</v>
      </c>
      <c r="AI60" s="48">
        <f t="shared" si="3"/>
        <v>2.25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" si="8">SUM(B49:B61)</f>
        <v>130.19</v>
      </c>
      <c r="C62" s="60">
        <f t="shared" ref="C62:AG62" si="9">SUM(C49:C61)</f>
        <v>118.19000000000001</v>
      </c>
      <c r="D62" s="60">
        <f t="shared" ref="D62" si="10">SUM(D49:D61)</f>
        <v>125.59</v>
      </c>
      <c r="E62" s="60">
        <f t="shared" si="9"/>
        <v>125.58999999999999</v>
      </c>
      <c r="F62" s="60">
        <f t="shared" si="9"/>
        <v>126.49</v>
      </c>
      <c r="G62" s="60">
        <f t="shared" si="9"/>
        <v>163.38999999999999</v>
      </c>
      <c r="H62" s="60">
        <f t="shared" si="9"/>
        <v>171.29</v>
      </c>
      <c r="I62" s="60">
        <f t="shared" si="9"/>
        <v>290.19</v>
      </c>
      <c r="J62" s="60">
        <f t="shared" si="9"/>
        <v>309.79000000000002</v>
      </c>
      <c r="K62" s="60">
        <f t="shared" si="9"/>
        <v>273.99000000000007</v>
      </c>
      <c r="L62" s="60">
        <f t="shared" si="9"/>
        <v>273.99000000000007</v>
      </c>
      <c r="M62" s="60">
        <f t="shared" si="9"/>
        <v>273.79000000000008</v>
      </c>
      <c r="N62" s="60">
        <f t="shared" si="9"/>
        <v>273.89000000000004</v>
      </c>
      <c r="O62" s="60">
        <f t="shared" si="9"/>
        <v>267.19</v>
      </c>
      <c r="P62" s="60">
        <f t="shared" si="9"/>
        <v>236.68999999999997</v>
      </c>
      <c r="Q62" s="60">
        <f t="shared" si="9"/>
        <v>236.68999999999997</v>
      </c>
      <c r="R62" s="60">
        <f t="shared" si="9"/>
        <v>225.83999999999997</v>
      </c>
      <c r="S62" s="60">
        <f t="shared" si="9"/>
        <v>236.83999999999997</v>
      </c>
      <c r="T62" s="60">
        <f t="shared" si="9"/>
        <v>238.24</v>
      </c>
      <c r="U62" s="60">
        <f t="shared" si="9"/>
        <v>265.64</v>
      </c>
      <c r="V62" s="60">
        <f t="shared" si="9"/>
        <v>207.84</v>
      </c>
      <c r="W62" s="60">
        <f t="shared" si="9"/>
        <v>174.84</v>
      </c>
      <c r="X62" s="60">
        <f t="shared" si="9"/>
        <v>220.73999999999998</v>
      </c>
      <c r="Y62" s="60">
        <v>364.04</v>
      </c>
      <c r="Z62" s="60">
        <f t="shared" si="9"/>
        <v>379.64000000000004</v>
      </c>
      <c r="AA62" s="60">
        <f t="shared" si="9"/>
        <v>332.04</v>
      </c>
      <c r="AB62" s="60">
        <f t="shared" si="9"/>
        <v>258.54000000000002</v>
      </c>
      <c r="AC62" s="60">
        <f t="shared" si="9"/>
        <v>203.33999999999997</v>
      </c>
      <c r="AD62" s="60">
        <f t="shared" si="9"/>
        <v>179.54</v>
      </c>
      <c r="AE62" s="60">
        <f t="shared" si="9"/>
        <v>179.54</v>
      </c>
      <c r="AF62" s="60">
        <f t="shared" si="9"/>
        <v>133.64000000000001</v>
      </c>
      <c r="AG62" s="61">
        <f t="shared" si="9"/>
        <v>489.91</v>
      </c>
      <c r="AH62" s="47">
        <f t="shared" si="2"/>
        <v>379.64000000000004</v>
      </c>
      <c r="AI62" s="48">
        <f t="shared" si="3"/>
        <v>118.19000000000001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30</v>
      </c>
      <c r="K63" s="45">
        <v>20</v>
      </c>
      <c r="L63" s="45">
        <v>20</v>
      </c>
      <c r="M63" s="45">
        <v>20</v>
      </c>
      <c r="N63" s="45">
        <v>20</v>
      </c>
      <c r="O63" s="45">
        <v>14</v>
      </c>
      <c r="P63" s="45">
        <v>14</v>
      </c>
      <c r="Q63" s="45">
        <v>20</v>
      </c>
      <c r="R63" s="45">
        <v>25</v>
      </c>
      <c r="S63" s="45">
        <v>0</v>
      </c>
      <c r="T63" s="45">
        <v>0</v>
      </c>
      <c r="U63" s="45">
        <v>0</v>
      </c>
      <c r="V63" s="45">
        <v>30</v>
      </c>
      <c r="W63" s="45">
        <v>30</v>
      </c>
      <c r="X63" s="45">
        <v>50</v>
      </c>
      <c r="Y63" s="45">
        <v>14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50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10.9</v>
      </c>
      <c r="K64" s="65">
        <v>14.4</v>
      </c>
      <c r="L64" s="65">
        <v>14.4</v>
      </c>
      <c r="M64" s="65">
        <v>14.4</v>
      </c>
      <c r="N64" s="65">
        <v>14.2</v>
      </c>
      <c r="O64" s="65">
        <v>5.7</v>
      </c>
      <c r="P64" s="65">
        <v>6</v>
      </c>
      <c r="Q64" s="65">
        <v>6</v>
      </c>
      <c r="R64" s="45">
        <v>7.5</v>
      </c>
      <c r="S64" s="65">
        <v>0</v>
      </c>
      <c r="T64" s="65">
        <v>0</v>
      </c>
      <c r="U64" s="65">
        <v>0</v>
      </c>
      <c r="V64" s="65">
        <v>13.6</v>
      </c>
      <c r="W64" s="65">
        <v>9.1</v>
      </c>
      <c r="X64" s="65">
        <v>13.8</v>
      </c>
      <c r="Y64" s="65">
        <v>13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14.4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4</v>
      </c>
      <c r="K65" s="67">
        <v>5</v>
      </c>
      <c r="L65" s="67">
        <v>5</v>
      </c>
      <c r="M65" s="67">
        <v>5</v>
      </c>
      <c r="N65" s="67">
        <v>5.2</v>
      </c>
      <c r="O65" s="67">
        <v>2.1</v>
      </c>
      <c r="P65" s="67">
        <v>2.1</v>
      </c>
      <c r="Q65" s="67">
        <v>2.1</v>
      </c>
      <c r="R65" s="45">
        <v>2</v>
      </c>
      <c r="S65" s="67">
        <v>0</v>
      </c>
      <c r="T65" s="67">
        <v>0</v>
      </c>
      <c r="U65" s="67">
        <v>0</v>
      </c>
      <c r="V65" s="67">
        <v>5</v>
      </c>
      <c r="W65" s="67">
        <v>3.3</v>
      </c>
      <c r="X65" s="67">
        <v>5</v>
      </c>
      <c r="Y65" s="67">
        <v>4.9000000000000004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5.2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" si="11"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39.4</v>
      </c>
      <c r="M66" s="60">
        <f t="shared" ref="M66:AF66" si="12">M63+M64+M65</f>
        <v>39.4</v>
      </c>
      <c r="N66" s="60">
        <f t="shared" si="12"/>
        <v>39.400000000000006</v>
      </c>
      <c r="O66" s="60">
        <f t="shared" si="12"/>
        <v>21.8</v>
      </c>
      <c r="P66" s="60">
        <f t="shared" si="12"/>
        <v>22.1</v>
      </c>
      <c r="Q66" s="60">
        <f t="shared" si="12"/>
        <v>28.1</v>
      </c>
      <c r="R66" s="60">
        <f t="shared" si="12"/>
        <v>34.5</v>
      </c>
      <c r="S66" s="60">
        <f t="shared" si="12"/>
        <v>0</v>
      </c>
      <c r="T66" s="60">
        <f t="shared" si="12"/>
        <v>0</v>
      </c>
      <c r="U66" s="60">
        <f t="shared" si="12"/>
        <v>0</v>
      </c>
      <c r="V66" s="60">
        <f t="shared" si="12"/>
        <v>48.6</v>
      </c>
      <c r="W66" s="60">
        <f t="shared" si="12"/>
        <v>42.4</v>
      </c>
      <c r="X66" s="60">
        <f t="shared" si="12"/>
        <v>68.8</v>
      </c>
      <c r="Y66" s="60">
        <v>31.9</v>
      </c>
      <c r="Z66" s="60">
        <f t="shared" si="12"/>
        <v>0</v>
      </c>
      <c r="AA66" s="60">
        <f t="shared" si="12"/>
        <v>0</v>
      </c>
      <c r="AB66" s="60">
        <f t="shared" si="12"/>
        <v>0</v>
      </c>
      <c r="AC66" s="60">
        <f t="shared" si="12"/>
        <v>0</v>
      </c>
      <c r="AD66" s="60">
        <f t="shared" si="12"/>
        <v>0</v>
      </c>
      <c r="AE66" s="60">
        <f t="shared" si="12"/>
        <v>0</v>
      </c>
      <c r="AF66" s="60">
        <f t="shared" si="12"/>
        <v>0</v>
      </c>
      <c r="AG66" s="61">
        <f>SUM(AG63:AG65)</f>
        <v>106</v>
      </c>
      <c r="AH66" s="47">
        <f t="shared" si="2"/>
        <v>68.8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335.5</v>
      </c>
      <c r="C69" s="65">
        <v>320.10000000000002</v>
      </c>
      <c r="D69" s="65">
        <v>314.8</v>
      </c>
      <c r="E69" s="65">
        <v>313.89999999999998</v>
      </c>
      <c r="F69" s="65">
        <v>320.2</v>
      </c>
      <c r="G69" s="65">
        <v>335</v>
      </c>
      <c r="H69" s="65">
        <v>363</v>
      </c>
      <c r="I69" s="65">
        <v>233</v>
      </c>
      <c r="J69" s="65">
        <v>107.7</v>
      </c>
      <c r="K69" s="65">
        <v>36</v>
      </c>
      <c r="L69" s="65">
        <v>36</v>
      </c>
      <c r="M69" s="65">
        <v>55</v>
      </c>
      <c r="N69" s="65">
        <v>217</v>
      </c>
      <c r="O69" s="65">
        <v>352</v>
      </c>
      <c r="P69" s="65">
        <v>295</v>
      </c>
      <c r="Q69" s="65">
        <v>311</v>
      </c>
      <c r="R69" s="65">
        <v>323</v>
      </c>
      <c r="S69" s="65">
        <v>349</v>
      </c>
      <c r="T69" s="65">
        <v>351.7</v>
      </c>
      <c r="U69" s="65">
        <v>355</v>
      </c>
      <c r="V69" s="65">
        <v>342.1</v>
      </c>
      <c r="W69" s="65">
        <v>360</v>
      </c>
      <c r="X69" s="65">
        <v>300</v>
      </c>
      <c r="Y69" s="65">
        <v>295</v>
      </c>
      <c r="Z69" s="65">
        <v>210</v>
      </c>
      <c r="AA69" s="65">
        <v>190</v>
      </c>
      <c r="AB69" s="65">
        <v>263</v>
      </c>
      <c r="AC69" s="65">
        <v>355</v>
      </c>
      <c r="AD69" s="65">
        <v>335</v>
      </c>
      <c r="AE69" s="65">
        <v>310</v>
      </c>
      <c r="AF69" s="65">
        <v>305</v>
      </c>
      <c r="AG69" s="75"/>
      <c r="AH69" s="47">
        <f t="shared" si="2"/>
        <v>363</v>
      </c>
      <c r="AI69" s="48">
        <f t="shared" si="3"/>
        <v>36</v>
      </c>
      <c r="AK69" s="49"/>
    </row>
    <row r="70" spans="1:40" x14ac:dyDescent="0.25">
      <c r="A70" s="53" t="s">
        <v>78</v>
      </c>
      <c r="B70" s="65">
        <v>55.1</v>
      </c>
      <c r="C70" s="76">
        <v>47.3</v>
      </c>
      <c r="D70" s="76">
        <v>48.9</v>
      </c>
      <c r="E70" s="76">
        <v>47.3</v>
      </c>
      <c r="F70" s="76">
        <v>46.5</v>
      </c>
      <c r="G70" s="76">
        <v>45.6</v>
      </c>
      <c r="H70" s="76">
        <v>46.2</v>
      </c>
      <c r="I70" s="76">
        <v>49.3</v>
      </c>
      <c r="J70" s="76">
        <v>50.9</v>
      </c>
      <c r="K70" s="76">
        <v>53.7</v>
      </c>
      <c r="L70" s="76">
        <v>53.7</v>
      </c>
      <c r="M70" s="76">
        <v>53.7</v>
      </c>
      <c r="N70" s="76">
        <v>53.7</v>
      </c>
      <c r="O70" s="76">
        <v>43</v>
      </c>
      <c r="P70" s="76">
        <v>43</v>
      </c>
      <c r="Q70" s="76">
        <v>43</v>
      </c>
      <c r="R70" s="76">
        <v>35.35</v>
      </c>
      <c r="S70" s="76">
        <v>49.2</v>
      </c>
      <c r="T70" s="76">
        <v>49.2</v>
      </c>
      <c r="U70" s="76">
        <v>49.2</v>
      </c>
      <c r="V70" s="76">
        <v>44.6</v>
      </c>
      <c r="W70" s="76">
        <v>45.6</v>
      </c>
      <c r="X70" s="65">
        <v>49</v>
      </c>
      <c r="Y70" s="65">
        <v>49</v>
      </c>
      <c r="Z70" s="65">
        <v>49</v>
      </c>
      <c r="AA70" s="65">
        <v>49</v>
      </c>
      <c r="AB70" s="65">
        <v>55</v>
      </c>
      <c r="AC70" s="65">
        <v>59</v>
      </c>
      <c r="AD70" s="65">
        <v>56</v>
      </c>
      <c r="AE70" s="65">
        <v>53</v>
      </c>
      <c r="AF70" s="65">
        <v>53</v>
      </c>
      <c r="AG70" s="75"/>
      <c r="AH70" s="47">
        <f t="shared" si="2"/>
        <v>59</v>
      </c>
      <c r="AI70" s="48">
        <f t="shared" si="3"/>
        <v>35.35</v>
      </c>
      <c r="AK70" s="49"/>
    </row>
    <row r="71" spans="1:40" x14ac:dyDescent="0.25">
      <c r="A71" s="53" t="s">
        <v>79</v>
      </c>
      <c r="B71" s="45">
        <v>71.2</v>
      </c>
      <c r="C71" s="45">
        <v>75.099999999999994</v>
      </c>
      <c r="D71" s="45">
        <v>76.8</v>
      </c>
      <c r="E71" s="45">
        <v>75</v>
      </c>
      <c r="F71" s="45">
        <v>75</v>
      </c>
      <c r="G71" s="45">
        <v>75</v>
      </c>
      <c r="H71" s="45">
        <v>75</v>
      </c>
      <c r="I71" s="45">
        <v>75</v>
      </c>
      <c r="J71" s="45">
        <v>75</v>
      </c>
      <c r="K71" s="45">
        <v>75</v>
      </c>
      <c r="L71" s="45">
        <v>75</v>
      </c>
      <c r="M71" s="45">
        <v>75</v>
      </c>
      <c r="N71" s="45">
        <v>75</v>
      </c>
      <c r="O71" s="45">
        <v>69</v>
      </c>
      <c r="P71" s="45">
        <v>69</v>
      </c>
      <c r="Q71" s="45">
        <v>69</v>
      </c>
      <c r="R71" s="45">
        <v>66</v>
      </c>
      <c r="S71" s="45">
        <v>66</v>
      </c>
      <c r="T71" s="45">
        <v>66</v>
      </c>
      <c r="U71" s="45">
        <v>66</v>
      </c>
      <c r="V71" s="45">
        <v>55</v>
      </c>
      <c r="W71" s="45">
        <v>55</v>
      </c>
      <c r="X71" s="45">
        <v>55</v>
      </c>
      <c r="Y71" s="45">
        <v>55</v>
      </c>
      <c r="Z71" s="45">
        <v>55</v>
      </c>
      <c r="AA71" s="45">
        <v>55</v>
      </c>
      <c r="AB71" s="45">
        <v>55</v>
      </c>
      <c r="AC71" s="45">
        <v>55</v>
      </c>
      <c r="AD71" s="45">
        <v>90</v>
      </c>
      <c r="AE71" s="45">
        <v>88</v>
      </c>
      <c r="AF71" s="45">
        <v>88</v>
      </c>
      <c r="AG71" s="75"/>
      <c r="AH71" s="47">
        <f t="shared" si="2"/>
        <v>90</v>
      </c>
      <c r="AI71" s="48">
        <f t="shared" si="3"/>
        <v>55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3">MAX(B75:AF75)</f>
        <v>0</v>
      </c>
      <c r="AI75" s="48">
        <f t="shared" ref="AI75:AI113" si="14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3"/>
        <v>0</v>
      </c>
      <c r="AI76" s="48">
        <f t="shared" si="14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3"/>
        <v>0</v>
      </c>
      <c r="AI77" s="48">
        <f t="shared" si="14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" si="15">SUMIF(B67:B77,"&gt;0")</f>
        <v>466.8</v>
      </c>
      <c r="C78" s="60">
        <f t="shared" ref="C78:AF78" si="16">SUMIF(C67:C77,"&gt;0")</f>
        <v>447.5</v>
      </c>
      <c r="D78" s="60">
        <f t="shared" si="16"/>
        <v>445.5</v>
      </c>
      <c r="E78" s="60">
        <f t="shared" si="16"/>
        <v>441.2</v>
      </c>
      <c r="F78" s="60">
        <f t="shared" si="16"/>
        <v>446.7</v>
      </c>
      <c r="G78" s="60">
        <f t="shared" si="16"/>
        <v>460.6</v>
      </c>
      <c r="H78" s="60">
        <f t="shared" si="16"/>
        <v>489.2</v>
      </c>
      <c r="I78" s="60">
        <f t="shared" si="16"/>
        <v>362.3</v>
      </c>
      <c r="J78" s="60">
        <f t="shared" si="16"/>
        <v>238.6</v>
      </c>
      <c r="K78" s="60">
        <f t="shared" si="16"/>
        <v>169.7</v>
      </c>
      <c r="L78" s="60">
        <f t="shared" si="16"/>
        <v>169.7</v>
      </c>
      <c r="M78" s="60">
        <f t="shared" si="16"/>
        <v>188.7</v>
      </c>
      <c r="N78" s="60">
        <f t="shared" si="16"/>
        <v>350.7</v>
      </c>
      <c r="O78" s="60">
        <f t="shared" si="16"/>
        <v>469</v>
      </c>
      <c r="P78" s="60">
        <f t="shared" si="16"/>
        <v>412</v>
      </c>
      <c r="Q78" s="60">
        <f t="shared" si="16"/>
        <v>428</v>
      </c>
      <c r="R78" s="60">
        <f t="shared" si="16"/>
        <v>429.35</v>
      </c>
      <c r="S78" s="60">
        <f t="shared" si="16"/>
        <v>469.2</v>
      </c>
      <c r="T78" s="60">
        <f t="shared" si="16"/>
        <v>471.9</v>
      </c>
      <c r="U78" s="60">
        <f t="shared" si="16"/>
        <v>475.2</v>
      </c>
      <c r="V78" s="60">
        <f t="shared" si="16"/>
        <v>446.70000000000005</v>
      </c>
      <c r="W78" s="60">
        <f t="shared" si="16"/>
        <v>465.6</v>
      </c>
      <c r="X78" s="60">
        <f t="shared" si="16"/>
        <v>409</v>
      </c>
      <c r="Y78" s="60">
        <v>404</v>
      </c>
      <c r="Z78" s="60">
        <f t="shared" si="16"/>
        <v>319</v>
      </c>
      <c r="AA78" s="60">
        <f t="shared" si="16"/>
        <v>299</v>
      </c>
      <c r="AB78" s="60">
        <f t="shared" si="16"/>
        <v>378</v>
      </c>
      <c r="AC78" s="60">
        <f t="shared" si="16"/>
        <v>474</v>
      </c>
      <c r="AD78" s="60">
        <f t="shared" si="16"/>
        <v>486</v>
      </c>
      <c r="AE78" s="60">
        <f t="shared" si="16"/>
        <v>456</v>
      </c>
      <c r="AF78" s="60">
        <f t="shared" si="16"/>
        <v>451</v>
      </c>
      <c r="AG78" s="88">
        <f>SUM(AG67:AG77)</f>
        <v>0</v>
      </c>
      <c r="AH78" s="47">
        <f t="shared" si="13"/>
        <v>489.2</v>
      </c>
      <c r="AI78" s="48">
        <f t="shared" si="14"/>
        <v>169.7</v>
      </c>
      <c r="AK78" s="86"/>
      <c r="AL78" s="77"/>
      <c r="AM78" s="89"/>
      <c r="AN78" s="193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3"/>
        <v>0</v>
      </c>
      <c r="AI79" s="48">
        <f t="shared" si="14"/>
        <v>0</v>
      </c>
      <c r="AK79" s="86"/>
      <c r="AL79" s="77"/>
      <c r="AM79" s="77"/>
      <c r="AN79" s="194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3"/>
        <v>0</v>
      </c>
      <c r="AI80" s="48">
        <f t="shared" si="14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3"/>
        <v>0</v>
      </c>
      <c r="AI81" s="48">
        <f t="shared" si="14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3"/>
        <v>0</v>
      </c>
      <c r="AI82" s="48">
        <f t="shared" si="14"/>
        <v>0</v>
      </c>
    </row>
    <row r="83" spans="1:37" ht="15.75" thickBot="1" x14ac:dyDescent="0.3">
      <c r="A83" s="74" t="s">
        <v>94</v>
      </c>
      <c r="B83" s="95">
        <f t="shared" ref="B83" si="17">B44+B48+B66+B62+B78+B82</f>
        <v>1008.79</v>
      </c>
      <c r="C83" s="95">
        <f t="shared" ref="C83:AG83" si="18">C44+C48+C66+C62+C78+C82</f>
        <v>977.99</v>
      </c>
      <c r="D83" s="95">
        <f t="shared" si="18"/>
        <v>968.58999999999992</v>
      </c>
      <c r="E83" s="95">
        <f t="shared" si="18"/>
        <v>964.29</v>
      </c>
      <c r="F83" s="95">
        <f t="shared" si="18"/>
        <v>970.68999999999983</v>
      </c>
      <c r="G83" s="95">
        <f t="shared" si="18"/>
        <v>1021.4899999999999</v>
      </c>
      <c r="H83" s="95">
        <f t="shared" si="18"/>
        <v>1057.8899999999999</v>
      </c>
      <c r="I83" s="95">
        <f t="shared" si="18"/>
        <v>1124.99</v>
      </c>
      <c r="J83" s="95">
        <f t="shared" si="18"/>
        <v>1116.79</v>
      </c>
      <c r="K83" s="95">
        <f t="shared" si="18"/>
        <v>1112.19</v>
      </c>
      <c r="L83" s="95">
        <f t="shared" si="18"/>
        <v>1151.5900000000001</v>
      </c>
      <c r="M83" s="95">
        <f t="shared" si="18"/>
        <v>1238.3900000000001</v>
      </c>
      <c r="N83" s="95">
        <f t="shared" si="18"/>
        <v>1242.49</v>
      </c>
      <c r="O83" s="95">
        <f t="shared" si="18"/>
        <v>1192.3899999999999</v>
      </c>
      <c r="P83" s="95">
        <f t="shared" si="18"/>
        <v>1145.19</v>
      </c>
      <c r="Q83" s="95">
        <f t="shared" si="18"/>
        <v>1177.19</v>
      </c>
      <c r="R83" s="95">
        <f t="shared" si="18"/>
        <v>1162.4899999999998</v>
      </c>
      <c r="S83" s="95">
        <f t="shared" si="18"/>
        <v>1127.6399999999999</v>
      </c>
      <c r="T83" s="95">
        <f t="shared" si="18"/>
        <v>1126.7399999999998</v>
      </c>
      <c r="U83" s="95">
        <f t="shared" si="18"/>
        <v>1157.44</v>
      </c>
      <c r="V83" s="95">
        <f t="shared" si="18"/>
        <v>1144.74</v>
      </c>
      <c r="W83" s="95">
        <f t="shared" si="18"/>
        <v>1106.04</v>
      </c>
      <c r="X83" s="95">
        <f t="shared" si="18"/>
        <v>1106.74</v>
      </c>
      <c r="Y83" s="95">
        <v>1273.1399999999999</v>
      </c>
      <c r="Z83" s="95">
        <f t="shared" si="18"/>
        <v>1275.3400000000001</v>
      </c>
      <c r="AA83" s="95">
        <f t="shared" si="18"/>
        <v>1207.74</v>
      </c>
      <c r="AB83" s="95">
        <f t="shared" si="18"/>
        <v>1118.24</v>
      </c>
      <c r="AC83" s="95">
        <f t="shared" si="18"/>
        <v>1114.04</v>
      </c>
      <c r="AD83" s="95">
        <f t="shared" si="18"/>
        <v>1102.24</v>
      </c>
      <c r="AE83" s="95">
        <f t="shared" si="18"/>
        <v>1052.24</v>
      </c>
      <c r="AF83" s="95">
        <f t="shared" si="18"/>
        <v>981.34</v>
      </c>
      <c r="AG83" s="61">
        <f t="shared" si="18"/>
        <v>2004.1900000000003</v>
      </c>
      <c r="AH83" s="47">
        <f>MAX(B83:AF83)</f>
        <v>1275.3400000000001</v>
      </c>
      <c r="AI83" s="48">
        <f>MIN(B83:AF83)</f>
        <v>964.29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150</v>
      </c>
      <c r="M84" s="97">
        <v>150</v>
      </c>
      <c r="N84" s="97">
        <v>150</v>
      </c>
      <c r="O84" s="97">
        <v>150</v>
      </c>
      <c r="P84" s="97"/>
      <c r="Q84" s="97"/>
      <c r="R84" s="97"/>
      <c r="S84" s="97"/>
      <c r="T84" s="97"/>
      <c r="U84" s="97"/>
      <c r="V84" s="97"/>
      <c r="W84" s="97">
        <v>150</v>
      </c>
      <c r="X84" s="97">
        <v>180</v>
      </c>
      <c r="Y84" s="97">
        <v>180</v>
      </c>
      <c r="Z84" s="97">
        <v>170</v>
      </c>
      <c r="AA84" s="97">
        <v>170</v>
      </c>
      <c r="AB84" s="97">
        <v>100</v>
      </c>
      <c r="AC84" s="97">
        <v>100</v>
      </c>
      <c r="AD84" s="97">
        <v>60</v>
      </c>
      <c r="AE84" s="97">
        <v>60</v>
      </c>
      <c r="AF84" s="97">
        <v>60</v>
      </c>
      <c r="AG84" s="88"/>
      <c r="AH84" s="47">
        <f t="shared" si="13"/>
        <v>180</v>
      </c>
      <c r="AI84" s="48">
        <f t="shared" si="14"/>
        <v>60</v>
      </c>
    </row>
    <row r="85" spans="1:37" ht="15.75" thickBot="1" x14ac:dyDescent="0.3">
      <c r="A85" s="74" t="s">
        <v>96</v>
      </c>
      <c r="B85" s="95">
        <f t="shared" ref="B85" si="19">B83+B84</f>
        <v>1008.79</v>
      </c>
      <c r="C85" s="95">
        <f t="shared" ref="C85:AF85" si="20">C83+C84</f>
        <v>977.99</v>
      </c>
      <c r="D85" s="95">
        <f t="shared" si="20"/>
        <v>968.58999999999992</v>
      </c>
      <c r="E85" s="95">
        <f t="shared" si="20"/>
        <v>964.29</v>
      </c>
      <c r="F85" s="95">
        <f t="shared" si="20"/>
        <v>970.68999999999983</v>
      </c>
      <c r="G85" s="95">
        <f t="shared" si="20"/>
        <v>1021.4899999999999</v>
      </c>
      <c r="H85" s="95">
        <f t="shared" si="20"/>
        <v>1057.8899999999999</v>
      </c>
      <c r="I85" s="95">
        <f t="shared" si="20"/>
        <v>1124.99</v>
      </c>
      <c r="J85" s="95">
        <f t="shared" si="20"/>
        <v>1116.79</v>
      </c>
      <c r="K85" s="95">
        <f t="shared" si="20"/>
        <v>1112.19</v>
      </c>
      <c r="L85" s="95">
        <f t="shared" si="20"/>
        <v>1301.5900000000001</v>
      </c>
      <c r="M85" s="95">
        <f t="shared" si="20"/>
        <v>1388.39</v>
      </c>
      <c r="N85" s="95">
        <f t="shared" si="20"/>
        <v>1392.49</v>
      </c>
      <c r="O85" s="95">
        <f t="shared" si="20"/>
        <v>1342.3899999999999</v>
      </c>
      <c r="P85" s="95">
        <f t="shared" si="20"/>
        <v>1145.19</v>
      </c>
      <c r="Q85" s="95">
        <f t="shared" si="20"/>
        <v>1177.19</v>
      </c>
      <c r="R85" s="95">
        <f t="shared" si="20"/>
        <v>1162.4899999999998</v>
      </c>
      <c r="S85" s="95">
        <f t="shared" si="20"/>
        <v>1127.6399999999999</v>
      </c>
      <c r="T85" s="95">
        <f t="shared" si="20"/>
        <v>1126.7399999999998</v>
      </c>
      <c r="U85" s="95">
        <f t="shared" si="20"/>
        <v>1157.44</v>
      </c>
      <c r="V85" s="95">
        <f t="shared" si="20"/>
        <v>1144.74</v>
      </c>
      <c r="W85" s="95">
        <f t="shared" si="20"/>
        <v>1256.04</v>
      </c>
      <c r="X85" s="95">
        <f t="shared" si="20"/>
        <v>1286.74</v>
      </c>
      <c r="Y85" s="95">
        <v>1453.1399999999999</v>
      </c>
      <c r="Z85" s="95">
        <f t="shared" si="20"/>
        <v>1445.3400000000001</v>
      </c>
      <c r="AA85" s="95">
        <f t="shared" si="20"/>
        <v>1377.74</v>
      </c>
      <c r="AB85" s="95">
        <f t="shared" si="20"/>
        <v>1218.24</v>
      </c>
      <c r="AC85" s="95">
        <f t="shared" si="20"/>
        <v>1214.04</v>
      </c>
      <c r="AD85" s="95">
        <f t="shared" si="20"/>
        <v>1162.24</v>
      </c>
      <c r="AE85" s="95">
        <f t="shared" si="20"/>
        <v>1112.24</v>
      </c>
      <c r="AF85" s="95">
        <f t="shared" si="20"/>
        <v>1041.3400000000001</v>
      </c>
      <c r="AG85" s="88">
        <f>AG82+AG78+AG66+AG62+AG44+AG84</f>
        <v>1466.0900000000001</v>
      </c>
      <c r="AH85" s="47">
        <f t="shared" si="13"/>
        <v>1453.1399999999999</v>
      </c>
      <c r="AI85" s="48">
        <f t="shared" si="14"/>
        <v>964.29</v>
      </c>
    </row>
    <row r="86" spans="1:37" ht="15.75" thickBot="1" x14ac:dyDescent="0.3">
      <c r="A86" s="74" t="s">
        <v>97</v>
      </c>
      <c r="B86" s="95">
        <f t="shared" ref="B86" si="21">B85-B93</f>
        <v>1008.79</v>
      </c>
      <c r="C86" s="95">
        <f t="shared" ref="C86:AF86" si="22">C85-C93</f>
        <v>977.99</v>
      </c>
      <c r="D86" s="95">
        <f t="shared" si="22"/>
        <v>968.58999999999992</v>
      </c>
      <c r="E86" s="95">
        <f t="shared" si="22"/>
        <v>964.29</v>
      </c>
      <c r="F86" s="95">
        <f t="shared" si="22"/>
        <v>970.68999999999983</v>
      </c>
      <c r="G86" s="95">
        <f t="shared" si="22"/>
        <v>1021.4899999999999</v>
      </c>
      <c r="H86" s="95">
        <f t="shared" si="22"/>
        <v>1057.8899999999999</v>
      </c>
      <c r="I86" s="95">
        <f t="shared" si="22"/>
        <v>1124.99</v>
      </c>
      <c r="J86" s="95">
        <f t="shared" si="22"/>
        <v>1116.79</v>
      </c>
      <c r="K86" s="95">
        <f t="shared" si="22"/>
        <v>1112.19</v>
      </c>
      <c r="L86" s="95">
        <f t="shared" si="22"/>
        <v>1301.5900000000001</v>
      </c>
      <c r="M86" s="95">
        <f t="shared" si="22"/>
        <v>1388.39</v>
      </c>
      <c r="N86" s="95">
        <f t="shared" si="22"/>
        <v>1392.49</v>
      </c>
      <c r="O86" s="95">
        <f t="shared" si="22"/>
        <v>1342.3899999999999</v>
      </c>
      <c r="P86" s="95">
        <f t="shared" si="22"/>
        <v>1145.19</v>
      </c>
      <c r="Q86" s="95">
        <f t="shared" si="22"/>
        <v>1177.19</v>
      </c>
      <c r="R86" s="95">
        <f t="shared" si="22"/>
        <v>1162.4899999999998</v>
      </c>
      <c r="S86" s="95">
        <f t="shared" si="22"/>
        <v>1127.6399999999999</v>
      </c>
      <c r="T86" s="95">
        <f t="shared" si="22"/>
        <v>1126.7399999999998</v>
      </c>
      <c r="U86" s="95">
        <f t="shared" si="22"/>
        <v>1157.44</v>
      </c>
      <c r="V86" s="95">
        <f t="shared" si="22"/>
        <v>1144.74</v>
      </c>
      <c r="W86" s="95">
        <f t="shared" si="22"/>
        <v>1256.04</v>
      </c>
      <c r="X86" s="95">
        <f t="shared" si="22"/>
        <v>1286.74</v>
      </c>
      <c r="Y86" s="95">
        <v>1453.1399999999999</v>
      </c>
      <c r="Z86" s="95">
        <f t="shared" si="22"/>
        <v>1445.3400000000001</v>
      </c>
      <c r="AA86" s="95">
        <f t="shared" si="22"/>
        <v>1377.74</v>
      </c>
      <c r="AB86" s="95">
        <f t="shared" si="22"/>
        <v>1218.24</v>
      </c>
      <c r="AC86" s="95">
        <f t="shared" si="22"/>
        <v>1214.04</v>
      </c>
      <c r="AD86" s="95">
        <f t="shared" si="22"/>
        <v>1162.24</v>
      </c>
      <c r="AE86" s="95">
        <f t="shared" si="22"/>
        <v>1112.24</v>
      </c>
      <c r="AF86" s="95">
        <f t="shared" si="22"/>
        <v>1041.3400000000001</v>
      </c>
      <c r="AG86" s="88"/>
      <c r="AH86" s="47">
        <f t="shared" si="13"/>
        <v>1453.1399999999999</v>
      </c>
      <c r="AI86" s="48">
        <f t="shared" si="14"/>
        <v>964.29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3"/>
        <v>0</v>
      </c>
      <c r="AI87" s="48">
        <f t="shared" si="14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3"/>
        <v>0</v>
      </c>
      <c r="AI88" s="48">
        <f t="shared" si="14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3"/>
        <v>0</v>
      </c>
      <c r="AI89" s="48">
        <f t="shared" si="14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3"/>
        <v>0</v>
      </c>
      <c r="AI90" s="48">
        <f t="shared" si="14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3"/>
        <v>0</v>
      </c>
      <c r="AI91" s="48">
        <f t="shared" si="14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3"/>
        <v>0</v>
      </c>
      <c r="AI92" s="48">
        <f t="shared" si="14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3"/>
        <v>0</v>
      </c>
      <c r="AI93" s="48">
        <f t="shared" si="14"/>
        <v>0</v>
      </c>
      <c r="AK93" s="49"/>
    </row>
    <row r="94" spans="1:37" ht="15.75" thickBot="1" x14ac:dyDescent="0.3">
      <c r="A94" s="74" t="s">
        <v>102</v>
      </c>
      <c r="B94" s="60">
        <f t="shared" ref="B94" si="23">B78-B93</f>
        <v>466.8</v>
      </c>
      <c r="C94" s="60">
        <f t="shared" ref="C94:AF94" si="24">C78-C93</f>
        <v>447.5</v>
      </c>
      <c r="D94" s="60">
        <f t="shared" si="24"/>
        <v>445.5</v>
      </c>
      <c r="E94" s="60">
        <f t="shared" si="24"/>
        <v>441.2</v>
      </c>
      <c r="F94" s="60">
        <f t="shared" si="24"/>
        <v>446.7</v>
      </c>
      <c r="G94" s="60">
        <f t="shared" si="24"/>
        <v>460.6</v>
      </c>
      <c r="H94" s="60">
        <f t="shared" si="24"/>
        <v>489.2</v>
      </c>
      <c r="I94" s="60">
        <f t="shared" si="24"/>
        <v>362.3</v>
      </c>
      <c r="J94" s="60">
        <f t="shared" si="24"/>
        <v>238.6</v>
      </c>
      <c r="K94" s="60">
        <f t="shared" si="24"/>
        <v>169.7</v>
      </c>
      <c r="L94" s="60">
        <f t="shared" si="24"/>
        <v>169.7</v>
      </c>
      <c r="M94" s="60">
        <f t="shared" si="24"/>
        <v>188.7</v>
      </c>
      <c r="N94" s="60">
        <f t="shared" si="24"/>
        <v>350.7</v>
      </c>
      <c r="O94" s="60">
        <f t="shared" si="24"/>
        <v>469</v>
      </c>
      <c r="P94" s="60">
        <f t="shared" si="24"/>
        <v>412</v>
      </c>
      <c r="Q94" s="60">
        <f t="shared" si="24"/>
        <v>428</v>
      </c>
      <c r="R94" s="60">
        <f t="shared" si="24"/>
        <v>429.35</v>
      </c>
      <c r="S94" s="60">
        <f t="shared" si="24"/>
        <v>469.2</v>
      </c>
      <c r="T94" s="60">
        <f t="shared" si="24"/>
        <v>471.9</v>
      </c>
      <c r="U94" s="60">
        <f t="shared" si="24"/>
        <v>475.2</v>
      </c>
      <c r="V94" s="60">
        <f t="shared" si="24"/>
        <v>446.70000000000005</v>
      </c>
      <c r="W94" s="60">
        <f t="shared" si="24"/>
        <v>465.6</v>
      </c>
      <c r="X94" s="60">
        <f t="shared" si="24"/>
        <v>409</v>
      </c>
      <c r="Y94" s="60">
        <v>404</v>
      </c>
      <c r="Z94" s="60">
        <f t="shared" si="24"/>
        <v>319</v>
      </c>
      <c r="AA94" s="60">
        <f t="shared" si="24"/>
        <v>299</v>
      </c>
      <c r="AB94" s="60">
        <f t="shared" si="24"/>
        <v>378</v>
      </c>
      <c r="AC94" s="60">
        <f t="shared" si="24"/>
        <v>474</v>
      </c>
      <c r="AD94" s="60">
        <f t="shared" si="24"/>
        <v>486</v>
      </c>
      <c r="AE94" s="60">
        <f t="shared" si="24"/>
        <v>456</v>
      </c>
      <c r="AF94" s="60">
        <f t="shared" si="24"/>
        <v>451</v>
      </c>
      <c r="AG94" s="88"/>
      <c r="AH94" s="47">
        <f t="shared" si="13"/>
        <v>489.2</v>
      </c>
      <c r="AI94" s="48">
        <f t="shared" si="14"/>
        <v>169.7</v>
      </c>
    </row>
    <row r="95" spans="1:37" x14ac:dyDescent="0.25">
      <c r="A95" s="100" t="s">
        <v>103</v>
      </c>
      <c r="B95" s="101">
        <v>49.9</v>
      </c>
      <c r="C95" s="101">
        <v>49.97</v>
      </c>
      <c r="D95" s="101">
        <v>50</v>
      </c>
      <c r="E95" s="101">
        <v>50.046999999999997</v>
      </c>
      <c r="F95" s="101">
        <v>49.947000000000003</v>
      </c>
      <c r="G95" s="101">
        <v>50.036999999999999</v>
      </c>
      <c r="H95" s="101">
        <v>49.914000000000001</v>
      </c>
      <c r="I95" s="101">
        <v>49.94</v>
      </c>
      <c r="J95" s="101">
        <v>49.945</v>
      </c>
      <c r="K95" s="101">
        <v>50.058999999999997</v>
      </c>
      <c r="L95" s="101">
        <v>50.058999999999997</v>
      </c>
      <c r="M95" s="101">
        <v>50.122</v>
      </c>
      <c r="N95" s="101">
        <v>50.136000000000003</v>
      </c>
      <c r="O95" s="101">
        <v>49.97</v>
      </c>
      <c r="P95" s="101">
        <v>49.933999999999997</v>
      </c>
      <c r="Q95" s="101">
        <v>50.015000000000001</v>
      </c>
      <c r="R95" s="101">
        <v>50.027000000000001</v>
      </c>
      <c r="S95" s="101">
        <v>50.023000000000003</v>
      </c>
      <c r="T95" s="101">
        <v>49.906999999999996</v>
      </c>
      <c r="U95" s="101">
        <v>50.07</v>
      </c>
      <c r="V95" s="101">
        <v>49.868000000000002</v>
      </c>
      <c r="W95" s="101">
        <v>50.069000000000003</v>
      </c>
      <c r="X95" s="101">
        <v>50.119</v>
      </c>
      <c r="Y95" s="101">
        <v>50.12</v>
      </c>
      <c r="Z95" s="101">
        <v>49.94</v>
      </c>
      <c r="AA95" s="101">
        <v>49.83</v>
      </c>
      <c r="AB95" s="101">
        <v>49.905000000000001</v>
      </c>
      <c r="AC95" s="101">
        <v>50.054000000000002</v>
      </c>
      <c r="AD95" s="101">
        <v>50.024999999999999</v>
      </c>
      <c r="AE95" s="101">
        <v>50.011000000000003</v>
      </c>
      <c r="AF95" s="101">
        <v>50.109000000000002</v>
      </c>
      <c r="AG95" s="102"/>
      <c r="AH95" s="47">
        <f t="shared" si="13"/>
        <v>50.136000000000003</v>
      </c>
      <c r="AI95" s="48">
        <f t="shared" si="14"/>
        <v>49.83</v>
      </c>
    </row>
    <row r="96" spans="1:37" x14ac:dyDescent="0.25">
      <c r="A96" s="103" t="s">
        <v>104</v>
      </c>
      <c r="B96" s="65">
        <v>128.4</v>
      </c>
      <c r="C96" s="65">
        <v>129.9</v>
      </c>
      <c r="D96" s="65">
        <v>130</v>
      </c>
      <c r="E96" s="65">
        <v>131.4</v>
      </c>
      <c r="F96" s="65">
        <v>130.30000000000001</v>
      </c>
      <c r="G96" s="65">
        <v>130.30000000000001</v>
      </c>
      <c r="H96" s="65">
        <v>128.6</v>
      </c>
      <c r="I96" s="65">
        <v>129.69999999999999</v>
      </c>
      <c r="J96" s="65">
        <v>130</v>
      </c>
      <c r="K96" s="65">
        <v>130.1</v>
      </c>
      <c r="L96" s="65">
        <v>130.1</v>
      </c>
      <c r="M96" s="65">
        <v>127.4</v>
      </c>
      <c r="N96" s="65">
        <v>126.8</v>
      </c>
      <c r="O96" s="65">
        <v>125.9</v>
      </c>
      <c r="P96" s="65">
        <v>126.5</v>
      </c>
      <c r="Q96" s="65">
        <v>126.3</v>
      </c>
      <c r="R96" s="65">
        <v>126.4</v>
      </c>
      <c r="S96" s="65">
        <v>125.8</v>
      </c>
      <c r="T96" s="65">
        <v>125.8</v>
      </c>
      <c r="U96" s="65">
        <v>125.6</v>
      </c>
      <c r="V96" s="65">
        <v>127.3</v>
      </c>
      <c r="W96" s="65">
        <v>127.8</v>
      </c>
      <c r="X96" s="65">
        <v>130.1</v>
      </c>
      <c r="Y96" s="65">
        <v>128.5</v>
      </c>
      <c r="Z96" s="65">
        <v>127.7</v>
      </c>
      <c r="AA96" s="65">
        <v>128.80000000000001</v>
      </c>
      <c r="AB96" s="65">
        <v>130</v>
      </c>
      <c r="AC96" s="65">
        <v>129.69999999999999</v>
      </c>
      <c r="AD96" s="65">
        <v>130</v>
      </c>
      <c r="AE96" s="65">
        <v>131.1</v>
      </c>
      <c r="AF96" s="65">
        <v>130.4</v>
      </c>
      <c r="AG96" s="104"/>
      <c r="AH96" s="47">
        <f t="shared" si="13"/>
        <v>131.4</v>
      </c>
      <c r="AI96" s="48">
        <f t="shared" si="14"/>
        <v>125.6</v>
      </c>
    </row>
    <row r="97" spans="1:35" x14ac:dyDescent="0.25">
      <c r="A97" s="103" t="s">
        <v>105</v>
      </c>
      <c r="B97" s="65">
        <v>131.6</v>
      </c>
      <c r="C97" s="65">
        <v>132.6</v>
      </c>
      <c r="D97" s="65">
        <v>132.69999999999999</v>
      </c>
      <c r="E97" s="65">
        <v>134</v>
      </c>
      <c r="F97" s="65">
        <v>133.19999999999999</v>
      </c>
      <c r="G97" s="65">
        <v>133.19999999999999</v>
      </c>
      <c r="H97" s="65">
        <v>131.6</v>
      </c>
      <c r="I97" s="65">
        <v>132.4</v>
      </c>
      <c r="J97" s="65">
        <v>132.4</v>
      </c>
      <c r="K97" s="65">
        <v>131.69999999999999</v>
      </c>
      <c r="L97" s="65">
        <v>131.69999999999999</v>
      </c>
      <c r="M97" s="65">
        <v>129.30000000000001</v>
      </c>
      <c r="N97" s="65">
        <v>128.69999999999999</v>
      </c>
      <c r="O97" s="65">
        <v>128.19999999999999</v>
      </c>
      <c r="P97" s="65">
        <v>129</v>
      </c>
      <c r="Q97" s="65">
        <v>129.1</v>
      </c>
      <c r="R97" s="65">
        <v>129.4</v>
      </c>
      <c r="S97" s="65">
        <v>129.4</v>
      </c>
      <c r="T97" s="65">
        <v>129.4</v>
      </c>
      <c r="U97" s="65">
        <v>129.1</v>
      </c>
      <c r="V97" s="65">
        <v>130.19999999999999</v>
      </c>
      <c r="W97" s="65">
        <v>130.19999999999999</v>
      </c>
      <c r="X97" s="65">
        <v>132.19999999999999</v>
      </c>
      <c r="Y97" s="65">
        <v>130.30000000000001</v>
      </c>
      <c r="Z97" s="65">
        <v>129.4</v>
      </c>
      <c r="AA97" s="65">
        <v>130.5</v>
      </c>
      <c r="AB97" s="65">
        <v>132</v>
      </c>
      <c r="AC97" s="65">
        <v>131.80000000000001</v>
      </c>
      <c r="AD97" s="65">
        <v>132.4</v>
      </c>
      <c r="AE97" s="65">
        <v>134</v>
      </c>
      <c r="AF97" s="65">
        <v>133.30000000000001</v>
      </c>
      <c r="AG97" s="104"/>
      <c r="AH97" s="47">
        <f t="shared" si="13"/>
        <v>134</v>
      </c>
      <c r="AI97" s="48">
        <f t="shared" si="14"/>
        <v>128.19999999999999</v>
      </c>
    </row>
    <row r="98" spans="1:35" x14ac:dyDescent="0.25">
      <c r="A98" s="103" t="s">
        <v>106</v>
      </c>
      <c r="B98" s="65">
        <v>129.9</v>
      </c>
      <c r="C98" s="65">
        <v>131.6</v>
      </c>
      <c r="D98" s="65">
        <v>133.80000000000001</v>
      </c>
      <c r="E98" s="65">
        <v>132.1</v>
      </c>
      <c r="F98" s="65">
        <v>131.19999999999999</v>
      </c>
      <c r="G98" s="65">
        <v>131.19999999999999</v>
      </c>
      <c r="H98" s="65">
        <v>131</v>
      </c>
      <c r="I98" s="65">
        <v>132.80000000000001</v>
      </c>
      <c r="J98" s="65">
        <v>129.19999999999999</v>
      </c>
      <c r="K98" s="65">
        <v>130.6</v>
      </c>
      <c r="L98" s="65">
        <v>130.6</v>
      </c>
      <c r="M98" s="65">
        <v>129</v>
      </c>
      <c r="N98" s="65">
        <v>130.69999999999999</v>
      </c>
      <c r="O98" s="65">
        <v>130.30000000000001</v>
      </c>
      <c r="P98" s="65">
        <v>127.6</v>
      </c>
      <c r="Q98" s="65">
        <v>129.1</v>
      </c>
      <c r="R98" s="65">
        <v>129.1</v>
      </c>
      <c r="S98" s="65">
        <v>127.5</v>
      </c>
      <c r="T98" s="65">
        <v>127.5</v>
      </c>
      <c r="U98" s="65">
        <v>130.4</v>
      </c>
      <c r="V98" s="65">
        <v>128.1</v>
      </c>
      <c r="W98" s="65">
        <v>130.69999999999999</v>
      </c>
      <c r="X98" s="65">
        <v>131.19999999999999</v>
      </c>
      <c r="Y98" s="65">
        <v>129.4</v>
      </c>
      <c r="Z98" s="65">
        <v>131.4</v>
      </c>
      <c r="AA98" s="65">
        <v>132</v>
      </c>
      <c r="AB98" s="65">
        <v>131.4</v>
      </c>
      <c r="AC98" s="65">
        <v>127.8</v>
      </c>
      <c r="AD98" s="65">
        <v>130.19999999999999</v>
      </c>
      <c r="AE98" s="65">
        <v>129.1</v>
      </c>
      <c r="AF98" s="65">
        <v>130.5</v>
      </c>
      <c r="AG98" s="104"/>
      <c r="AH98" s="47">
        <f t="shared" si="13"/>
        <v>133.80000000000001</v>
      </c>
      <c r="AI98" s="48">
        <f t="shared" si="14"/>
        <v>127.5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3"/>
        <v>0</v>
      </c>
      <c r="AI99" s="48">
        <f t="shared" si="14"/>
        <v>0</v>
      </c>
    </row>
    <row r="100" spans="1:35" x14ac:dyDescent="0.25">
      <c r="A100" s="105" t="s">
        <v>108</v>
      </c>
      <c r="B100" s="106">
        <v>130.19999999999999</v>
      </c>
      <c r="C100" s="106">
        <v>131.19999999999999</v>
      </c>
      <c r="D100" s="106">
        <v>131.19999999999999</v>
      </c>
      <c r="E100" s="106">
        <v>135.1</v>
      </c>
      <c r="F100" s="106">
        <v>132.80000000000001</v>
      </c>
      <c r="G100" s="106">
        <v>132.80000000000001</v>
      </c>
      <c r="H100" s="106">
        <v>131.30000000000001</v>
      </c>
      <c r="I100" s="106">
        <v>136</v>
      </c>
      <c r="J100" s="106">
        <v>134.1</v>
      </c>
      <c r="K100" s="106">
        <v>135.4</v>
      </c>
      <c r="L100" s="106">
        <v>135.4</v>
      </c>
      <c r="M100" s="106">
        <v>133.1</v>
      </c>
      <c r="N100" s="106">
        <v>132.30000000000001</v>
      </c>
      <c r="O100" s="106">
        <v>131.1</v>
      </c>
      <c r="P100" s="106">
        <v>133.1</v>
      </c>
      <c r="Q100" s="106">
        <v>130.80000000000001</v>
      </c>
      <c r="R100" s="106">
        <v>132.1</v>
      </c>
      <c r="S100" s="106">
        <v>134</v>
      </c>
      <c r="T100" s="106">
        <v>134</v>
      </c>
      <c r="U100" s="106">
        <v>132.9</v>
      </c>
      <c r="V100" s="106">
        <v>134.5</v>
      </c>
      <c r="W100" s="106">
        <v>133.5</v>
      </c>
      <c r="X100" s="106">
        <v>135.30000000000001</v>
      </c>
      <c r="Y100" s="106">
        <v>133.4</v>
      </c>
      <c r="Z100" s="106">
        <v>133.9</v>
      </c>
      <c r="AA100" s="106">
        <v>135</v>
      </c>
      <c r="AB100" s="106">
        <v>136</v>
      </c>
      <c r="AC100" s="106">
        <v>136</v>
      </c>
      <c r="AD100" s="106">
        <v>133.30000000000001</v>
      </c>
      <c r="AE100" s="106">
        <v>135.19999999999999</v>
      </c>
      <c r="AF100" s="106">
        <v>131.1</v>
      </c>
      <c r="AG100" s="107"/>
      <c r="AH100" s="47">
        <f t="shared" si="13"/>
        <v>136</v>
      </c>
      <c r="AI100" s="48">
        <f t="shared" si="14"/>
        <v>130.19999999999999</v>
      </c>
    </row>
    <row r="101" spans="1:35" x14ac:dyDescent="0.25">
      <c r="A101" s="103" t="s">
        <v>109</v>
      </c>
      <c r="B101" s="65">
        <v>132.30000000000001</v>
      </c>
      <c r="C101" s="65">
        <v>133.19999999999999</v>
      </c>
      <c r="D101" s="65">
        <v>133.30000000000001</v>
      </c>
      <c r="E101" s="65">
        <v>137.19999999999999</v>
      </c>
      <c r="F101" s="65">
        <v>134.6</v>
      </c>
      <c r="G101" s="65">
        <v>134.6</v>
      </c>
      <c r="H101" s="65">
        <v>130.4</v>
      </c>
      <c r="I101" s="65">
        <v>134.80000000000001</v>
      </c>
      <c r="J101" s="65">
        <v>131.6</v>
      </c>
      <c r="K101" s="65">
        <v>132.30000000000001</v>
      </c>
      <c r="L101" s="65">
        <v>132.30000000000001</v>
      </c>
      <c r="M101" s="65">
        <v>131</v>
      </c>
      <c r="N101" s="65">
        <v>131.30000000000001</v>
      </c>
      <c r="O101" s="65">
        <v>129.4</v>
      </c>
      <c r="P101" s="65">
        <v>133.6</v>
      </c>
      <c r="Q101" s="65">
        <v>130.6</v>
      </c>
      <c r="R101" s="65">
        <v>133.1</v>
      </c>
      <c r="S101" s="65">
        <v>132.30000000000001</v>
      </c>
      <c r="T101" s="65">
        <v>132.30000000000001</v>
      </c>
      <c r="U101" s="65">
        <v>131.4</v>
      </c>
      <c r="V101" s="65">
        <v>134.69999999999999</v>
      </c>
      <c r="W101" s="65">
        <v>133</v>
      </c>
      <c r="X101" s="65">
        <v>133.30000000000001</v>
      </c>
      <c r="Y101" s="65">
        <v>133.6</v>
      </c>
      <c r="Z101" s="65">
        <v>134.1</v>
      </c>
      <c r="AA101" s="65">
        <v>133.9</v>
      </c>
      <c r="AB101" s="65">
        <v>135.69999999999999</v>
      </c>
      <c r="AC101" s="65">
        <v>136.69999999999999</v>
      </c>
      <c r="AD101" s="65">
        <v>134.1</v>
      </c>
      <c r="AE101" s="65">
        <v>134.30000000000001</v>
      </c>
      <c r="AF101" s="65">
        <v>132</v>
      </c>
      <c r="AG101" s="104"/>
      <c r="AH101" s="47">
        <f t="shared" si="13"/>
        <v>137.19999999999999</v>
      </c>
      <c r="AI101" s="48">
        <f t="shared" si="14"/>
        <v>129.4</v>
      </c>
    </row>
    <row r="102" spans="1:35" ht="15.75" thickBot="1" x14ac:dyDescent="0.3">
      <c r="A102" s="103" t="s">
        <v>110</v>
      </c>
      <c r="B102" s="92">
        <v>66</v>
      </c>
      <c r="C102" s="92">
        <v>66.599999999999994</v>
      </c>
      <c r="D102" s="92">
        <v>66.7</v>
      </c>
      <c r="E102" s="92">
        <v>67.5</v>
      </c>
      <c r="F102" s="92">
        <v>67</v>
      </c>
      <c r="G102" s="92">
        <v>66.7</v>
      </c>
      <c r="H102" s="92">
        <v>65.900000000000006</v>
      </c>
      <c r="I102" s="92">
        <v>66.3</v>
      </c>
      <c r="J102" s="92">
        <v>66.3</v>
      </c>
      <c r="K102" s="92">
        <v>66.2</v>
      </c>
      <c r="L102" s="92">
        <v>66.2</v>
      </c>
      <c r="M102" s="92">
        <v>66.2</v>
      </c>
      <c r="N102" s="92">
        <v>64.599999999999994</v>
      </c>
      <c r="O102" s="92">
        <v>64.2</v>
      </c>
      <c r="P102" s="92">
        <v>64.7</v>
      </c>
      <c r="Q102" s="92">
        <v>64.8</v>
      </c>
      <c r="R102" s="92">
        <v>64.8</v>
      </c>
      <c r="S102" s="92">
        <v>64.8</v>
      </c>
      <c r="T102" s="92">
        <v>64.8</v>
      </c>
      <c r="U102" s="92">
        <v>64.8</v>
      </c>
      <c r="V102" s="92">
        <v>65.3</v>
      </c>
      <c r="W102" s="92">
        <v>65.599999999999994</v>
      </c>
      <c r="X102" s="92">
        <v>66.099999999999994</v>
      </c>
      <c r="Y102" s="92">
        <v>65.400000000000006</v>
      </c>
      <c r="Z102" s="92">
        <v>64.8</v>
      </c>
      <c r="AA102" s="92">
        <v>65.400000000000006</v>
      </c>
      <c r="AB102" s="92">
        <v>66.099999999999994</v>
      </c>
      <c r="AC102" s="92">
        <v>66.3</v>
      </c>
      <c r="AD102" s="92">
        <v>66.5</v>
      </c>
      <c r="AE102" s="92">
        <v>66.8</v>
      </c>
      <c r="AF102" s="92">
        <v>67</v>
      </c>
      <c r="AG102" s="108"/>
      <c r="AH102" s="47">
        <f t="shared" si="13"/>
        <v>67.5</v>
      </c>
      <c r="AI102" s="48">
        <f t="shared" si="14"/>
        <v>64.2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3"/>
        <v>0</v>
      </c>
      <c r="AI103" s="48">
        <f t="shared" si="14"/>
        <v>0</v>
      </c>
    </row>
    <row r="104" spans="1:35" ht="15.75" thickBot="1" x14ac:dyDescent="0.3">
      <c r="A104" s="110" t="s">
        <v>112</v>
      </c>
      <c r="B104" s="111">
        <f t="shared" ref="B104" si="25">SUM(B16,B22,B25:B26,B52,B54:B55,B57,B59,B105:B109,B131,B137,B143,B152,B154,B166,B173,B176:B177,B184,B186,B188,B192:B194,B196:B198,B203,B209:B210,B212:B214,B222,B227)</f>
        <v>120.80000000000001</v>
      </c>
      <c r="C104" s="111">
        <f t="shared" ref="C104:AF104" si="26">SUM(C16,C22,C25:C26,C52,C54:C55,C57,C59,C105:C109,C131,C137,C143,C152,C154,C166,C173,C176:C177,C184,C186,C188,C192:C194,C196:C198,C203,C209:C210,C212:C214,C222,C227)</f>
        <v>112.50999999999999</v>
      </c>
      <c r="D104" s="111">
        <f t="shared" si="26"/>
        <v>105.64</v>
      </c>
      <c r="E104" s="111">
        <f t="shared" si="26"/>
        <v>114.34</v>
      </c>
      <c r="F104" s="111">
        <f t="shared" si="26"/>
        <v>116.23999999999998</v>
      </c>
      <c r="G104" s="111">
        <f t="shared" si="26"/>
        <v>143.74</v>
      </c>
      <c r="H104" s="111">
        <f t="shared" si="26"/>
        <v>159.84</v>
      </c>
      <c r="I104" s="111">
        <f t="shared" si="26"/>
        <v>192.44</v>
      </c>
      <c r="J104" s="111">
        <f t="shared" si="26"/>
        <v>203.84</v>
      </c>
      <c r="K104" s="111">
        <f t="shared" si="26"/>
        <v>229.14</v>
      </c>
      <c r="L104" s="111">
        <f t="shared" si="26"/>
        <v>229.14</v>
      </c>
      <c r="M104" s="111">
        <f t="shared" si="26"/>
        <v>289.14</v>
      </c>
      <c r="N104" s="111">
        <f t="shared" si="26"/>
        <v>310.33999999999997</v>
      </c>
      <c r="O104" s="111">
        <f t="shared" si="26"/>
        <v>295.44</v>
      </c>
      <c r="P104" s="111">
        <v>42</v>
      </c>
      <c r="Q104" s="111">
        <f t="shared" si="26"/>
        <v>250.4</v>
      </c>
      <c r="R104" s="111">
        <f t="shared" si="26"/>
        <v>224.7</v>
      </c>
      <c r="S104" s="111">
        <f t="shared" si="26"/>
        <v>218.4</v>
      </c>
      <c r="T104" s="111">
        <f t="shared" si="26"/>
        <v>221.9</v>
      </c>
      <c r="U104" s="111">
        <f t="shared" si="26"/>
        <v>240.9</v>
      </c>
      <c r="V104" s="111">
        <f t="shared" si="26"/>
        <v>213.2</v>
      </c>
      <c r="W104" s="111">
        <f t="shared" si="26"/>
        <v>233.5</v>
      </c>
      <c r="X104" s="111">
        <f t="shared" si="26"/>
        <v>252.7</v>
      </c>
      <c r="Y104" s="111">
        <v>386.69708333333335</v>
      </c>
      <c r="Z104" s="111">
        <f t="shared" si="26"/>
        <v>329.20000000000005</v>
      </c>
      <c r="AA104" s="111">
        <f t="shared" si="26"/>
        <v>315.5</v>
      </c>
      <c r="AB104" s="111">
        <f t="shared" si="26"/>
        <v>293.2</v>
      </c>
      <c r="AC104" s="111">
        <f t="shared" si="26"/>
        <v>269.39999999999998</v>
      </c>
      <c r="AD104" s="111">
        <f t="shared" si="26"/>
        <v>238.4</v>
      </c>
      <c r="AE104" s="111">
        <f t="shared" si="26"/>
        <v>183.6</v>
      </c>
      <c r="AF104" s="111">
        <f t="shared" si="26"/>
        <v>133.19999999999999</v>
      </c>
      <c r="AG104" s="112"/>
      <c r="AH104" s="47">
        <f t="shared" si="13"/>
        <v>386.69708333333335</v>
      </c>
      <c r="AI104" s="48">
        <f t="shared" si="14"/>
        <v>42</v>
      </c>
    </row>
    <row r="105" spans="1:35" x14ac:dyDescent="0.25">
      <c r="A105" s="100" t="s">
        <v>113</v>
      </c>
      <c r="B105" s="113">
        <v>-28.9</v>
      </c>
      <c r="C105" s="113">
        <v>-30.2</v>
      </c>
      <c r="D105" s="113">
        <v>-28.8</v>
      </c>
      <c r="E105" s="113">
        <v>-23.8</v>
      </c>
      <c r="F105" s="113">
        <v>-26.6</v>
      </c>
      <c r="G105" s="113">
        <v>-22.5</v>
      </c>
      <c r="H105" s="113">
        <v>-22.5</v>
      </c>
      <c r="I105" s="113">
        <v>2.8</v>
      </c>
      <c r="J105" s="113">
        <v>7</v>
      </c>
      <c r="K105" s="113">
        <v>9</v>
      </c>
      <c r="L105" s="113">
        <v>9</v>
      </c>
      <c r="M105" s="113">
        <v>6.3</v>
      </c>
      <c r="N105" s="113">
        <v>6.8</v>
      </c>
      <c r="O105" s="113">
        <v>6</v>
      </c>
      <c r="P105" s="113">
        <v>1.5</v>
      </c>
      <c r="Q105" s="113">
        <v>-7.7</v>
      </c>
      <c r="R105" s="113">
        <v>-11.4</v>
      </c>
      <c r="S105" s="113">
        <v>-6.7</v>
      </c>
      <c r="T105" s="113">
        <v>-8.9</v>
      </c>
      <c r="U105" s="113">
        <v>-5.5</v>
      </c>
      <c r="V105" s="113">
        <v>-17.600000000000001</v>
      </c>
      <c r="W105" s="113">
        <v>-12.3</v>
      </c>
      <c r="X105" s="113">
        <v>-1.6</v>
      </c>
      <c r="Y105" s="113">
        <v>28.5</v>
      </c>
      <c r="Z105" s="113">
        <v>30.5</v>
      </c>
      <c r="AA105" s="113">
        <v>23.8</v>
      </c>
      <c r="AB105" s="113">
        <v>17.399999999999999</v>
      </c>
      <c r="AC105" s="113">
        <v>9.1</v>
      </c>
      <c r="AD105" s="113">
        <v>0</v>
      </c>
      <c r="AE105" s="113">
        <v>0</v>
      </c>
      <c r="AF105" s="113">
        <v>-20</v>
      </c>
      <c r="AG105" s="114">
        <v>75</v>
      </c>
      <c r="AH105" s="47">
        <f t="shared" si="13"/>
        <v>30.5</v>
      </c>
      <c r="AI105" s="48">
        <f t="shared" si="14"/>
        <v>-30.2</v>
      </c>
    </row>
    <row r="106" spans="1:35" x14ac:dyDescent="0.25">
      <c r="A106" s="103" t="s">
        <v>114</v>
      </c>
      <c r="B106" s="115">
        <v>-38.9</v>
      </c>
      <c r="C106" s="115">
        <v>-40.33</v>
      </c>
      <c r="D106" s="115">
        <v>-35.6</v>
      </c>
      <c r="E106" s="115">
        <v>-31.2</v>
      </c>
      <c r="F106" s="115">
        <v>-34</v>
      </c>
      <c r="G106" s="115">
        <v>-27.8</v>
      </c>
      <c r="H106" s="115">
        <v>-28.5</v>
      </c>
      <c r="I106" s="115">
        <v>7.9</v>
      </c>
      <c r="J106" s="115">
        <v>14</v>
      </c>
      <c r="K106" s="115">
        <v>10.6</v>
      </c>
      <c r="L106" s="115">
        <v>10.6</v>
      </c>
      <c r="M106" s="115">
        <v>4.3</v>
      </c>
      <c r="N106" s="115">
        <v>4.7</v>
      </c>
      <c r="O106" s="115">
        <v>3.1</v>
      </c>
      <c r="P106" s="115">
        <v>-1.1000000000000001</v>
      </c>
      <c r="Q106" s="115">
        <v>-9.6999999999999993</v>
      </c>
      <c r="R106" s="115">
        <v>-14.4</v>
      </c>
      <c r="S106" s="115">
        <v>-6.6</v>
      </c>
      <c r="T106" s="115">
        <v>-10</v>
      </c>
      <c r="U106" s="115">
        <v>-5.8</v>
      </c>
      <c r="V106" s="115">
        <v>-24.1</v>
      </c>
      <c r="W106" s="115">
        <v>-23</v>
      </c>
      <c r="X106" s="115">
        <v>-9</v>
      </c>
      <c r="Y106" s="115">
        <v>32.1</v>
      </c>
      <c r="Z106" s="115">
        <v>35.4</v>
      </c>
      <c r="AA106" s="115">
        <v>25.5</v>
      </c>
      <c r="AB106" s="115">
        <v>16.7</v>
      </c>
      <c r="AC106" s="115">
        <v>5.2</v>
      </c>
      <c r="AD106" s="115">
        <v>-6</v>
      </c>
      <c r="AE106" s="115">
        <v>-1.2</v>
      </c>
      <c r="AF106" s="115">
        <v>-24</v>
      </c>
      <c r="AG106" s="114">
        <v>240</v>
      </c>
      <c r="AH106" s="47">
        <f t="shared" si="13"/>
        <v>35.4</v>
      </c>
      <c r="AI106" s="48">
        <f t="shared" si="14"/>
        <v>-40.33</v>
      </c>
    </row>
    <row r="107" spans="1:35" x14ac:dyDescent="0.25">
      <c r="A107" s="103" t="s">
        <v>115</v>
      </c>
      <c r="B107" s="115">
        <v>0</v>
      </c>
      <c r="C107" s="115">
        <v>0</v>
      </c>
      <c r="D107" s="115">
        <f>-2.1-2.1</f>
        <v>-4.2</v>
      </c>
      <c r="E107" s="115">
        <v>-6</v>
      </c>
      <c r="F107" s="115">
        <v>-1.6</v>
      </c>
      <c r="G107" s="115">
        <v>5.4</v>
      </c>
      <c r="H107" s="115">
        <v>11.9</v>
      </c>
      <c r="I107" s="115">
        <v>0</v>
      </c>
      <c r="J107" s="115">
        <v>-13.1</v>
      </c>
      <c r="K107" s="115">
        <v>8.6</v>
      </c>
      <c r="L107" s="115">
        <v>8.6</v>
      </c>
      <c r="M107" s="115">
        <f>18+15</f>
        <v>33</v>
      </c>
      <c r="N107" s="115">
        <f>24+22</f>
        <v>46</v>
      </c>
      <c r="O107" s="115">
        <v>39.5</v>
      </c>
      <c r="P107" s="115">
        <f>19+18</f>
        <v>37</v>
      </c>
      <c r="Q107" s="115">
        <f>16+15</f>
        <v>31</v>
      </c>
      <c r="R107" s="115">
        <v>11.5</v>
      </c>
      <c r="S107" s="115">
        <v>10.8</v>
      </c>
      <c r="T107" s="115">
        <v>20</v>
      </c>
      <c r="U107" s="115">
        <f>11.4+12.4</f>
        <v>23.8</v>
      </c>
      <c r="V107" s="115">
        <v>23</v>
      </c>
      <c r="W107" s="115">
        <v>30.7</v>
      </c>
      <c r="X107" s="115">
        <v>21</v>
      </c>
      <c r="Y107" s="115">
        <v>32.299999999999997</v>
      </c>
      <c r="Z107" s="115">
        <f>13.1+21.1</f>
        <v>34.200000000000003</v>
      </c>
      <c r="AA107" s="115">
        <f>18.4+19.6</f>
        <v>38</v>
      </c>
      <c r="AB107" s="115">
        <v>38</v>
      </c>
      <c r="AC107" s="115">
        <v>35</v>
      </c>
      <c r="AD107" s="115">
        <v>32</v>
      </c>
      <c r="AE107" s="115">
        <v>3</v>
      </c>
      <c r="AF107" s="115">
        <v>-5</v>
      </c>
      <c r="AG107" s="114">
        <v>240</v>
      </c>
      <c r="AH107" s="47">
        <f t="shared" si="13"/>
        <v>46</v>
      </c>
      <c r="AI107" s="48">
        <f t="shared" si="14"/>
        <v>-13.1</v>
      </c>
    </row>
    <row r="108" spans="1:35" x14ac:dyDescent="0.25">
      <c r="A108" s="103" t="s">
        <v>116</v>
      </c>
      <c r="B108" s="115">
        <v>-1</v>
      </c>
      <c r="C108" s="115">
        <v>-3</v>
      </c>
      <c r="D108" s="115">
        <v>-3.5</v>
      </c>
      <c r="E108" s="115">
        <v>0</v>
      </c>
      <c r="F108" s="115">
        <v>-1.8</v>
      </c>
      <c r="G108" s="115">
        <v>1.2</v>
      </c>
      <c r="H108" s="115">
        <v>0.9</v>
      </c>
      <c r="I108" s="115">
        <v>0.3</v>
      </c>
      <c r="J108" s="115">
        <v>20.5</v>
      </c>
      <c r="K108" s="115">
        <v>7.8</v>
      </c>
      <c r="L108" s="115">
        <v>7.8</v>
      </c>
      <c r="M108" s="115">
        <v>32.700000000000003</v>
      </c>
      <c r="N108" s="115">
        <v>37.5</v>
      </c>
      <c r="O108" s="115">
        <v>24.4</v>
      </c>
      <c r="P108" s="115">
        <v>22.2</v>
      </c>
      <c r="Q108" s="115">
        <v>22.2</v>
      </c>
      <c r="R108" s="115">
        <v>14.9</v>
      </c>
      <c r="S108" s="115">
        <v>5.9</v>
      </c>
      <c r="T108" s="115">
        <v>9.9</v>
      </c>
      <c r="U108" s="115">
        <v>9</v>
      </c>
      <c r="V108" s="115">
        <v>26</v>
      </c>
      <c r="W108" s="115">
        <v>32</v>
      </c>
      <c r="X108" s="115">
        <v>54</v>
      </c>
      <c r="Y108" s="115">
        <v>28.5</v>
      </c>
      <c r="Z108" s="115">
        <v>22.1</v>
      </c>
      <c r="AA108" s="115">
        <v>22.7</v>
      </c>
      <c r="AB108" s="115">
        <v>22</v>
      </c>
      <c r="AC108" s="115">
        <v>19</v>
      </c>
      <c r="AD108" s="115">
        <v>16</v>
      </c>
      <c r="AE108" s="115">
        <v>9</v>
      </c>
      <c r="AF108" s="115">
        <v>8</v>
      </c>
      <c r="AG108" s="114">
        <v>60</v>
      </c>
      <c r="AH108" s="47">
        <f t="shared" si="13"/>
        <v>54</v>
      </c>
      <c r="AI108" s="48">
        <f t="shared" si="14"/>
        <v>-3.5</v>
      </c>
    </row>
    <row r="109" spans="1:35" x14ac:dyDescent="0.25">
      <c r="A109" s="116" t="s">
        <v>117</v>
      </c>
      <c r="B109" s="117">
        <v>90.7</v>
      </c>
      <c r="C109" s="117">
        <v>88.1</v>
      </c>
      <c r="D109" s="117">
        <v>79.599999999999994</v>
      </c>
      <c r="E109" s="117">
        <v>77.2</v>
      </c>
      <c r="F109" s="117">
        <v>82.1</v>
      </c>
      <c r="G109" s="117">
        <v>89.3</v>
      </c>
      <c r="H109" s="117">
        <v>99.9</v>
      </c>
      <c r="I109" s="117">
        <v>83.3</v>
      </c>
      <c r="J109" s="117">
        <v>77.3</v>
      </c>
      <c r="K109" s="117">
        <v>94.8</v>
      </c>
      <c r="L109" s="117">
        <v>94.8</v>
      </c>
      <c r="M109" s="117">
        <v>114.5</v>
      </c>
      <c r="N109" s="117">
        <v>117</v>
      </c>
      <c r="O109" s="117">
        <v>117.9</v>
      </c>
      <c r="P109" s="117">
        <v>114</v>
      </c>
      <c r="Q109" s="117">
        <v>111</v>
      </c>
      <c r="R109" s="117">
        <v>119</v>
      </c>
      <c r="S109" s="117">
        <v>109.6</v>
      </c>
      <c r="T109" s="117">
        <v>105.5</v>
      </c>
      <c r="U109" s="117">
        <v>114</v>
      </c>
      <c r="V109" s="117">
        <v>109.8</v>
      </c>
      <c r="W109" s="117">
        <v>110</v>
      </c>
      <c r="X109" s="117">
        <v>92.2</v>
      </c>
      <c r="Y109" s="117">
        <v>103</v>
      </c>
      <c r="Z109" s="117">
        <v>108.9</v>
      </c>
      <c r="AA109" s="117">
        <v>107.4</v>
      </c>
      <c r="AB109" s="117">
        <v>101</v>
      </c>
      <c r="AC109" s="117">
        <v>105.3</v>
      </c>
      <c r="AD109" s="117">
        <v>100.6</v>
      </c>
      <c r="AE109" s="117">
        <v>77</v>
      </c>
      <c r="AF109" s="117">
        <v>72</v>
      </c>
      <c r="AG109" s="118">
        <v>120</v>
      </c>
      <c r="AH109" s="47">
        <f t="shared" si="13"/>
        <v>119</v>
      </c>
      <c r="AI109" s="48">
        <f t="shared" si="14"/>
        <v>72</v>
      </c>
    </row>
    <row r="110" spans="1:35" x14ac:dyDescent="0.25">
      <c r="A110" s="116" t="s">
        <v>118</v>
      </c>
      <c r="B110" s="117">
        <v>82.1</v>
      </c>
      <c r="C110" s="117">
        <v>78.900000000000006</v>
      </c>
      <c r="D110" s="117">
        <v>75.2</v>
      </c>
      <c r="E110" s="117">
        <v>70.8</v>
      </c>
      <c r="F110" s="117">
        <v>76.2</v>
      </c>
      <c r="G110" s="117">
        <v>82</v>
      </c>
      <c r="H110" s="117">
        <v>91.3</v>
      </c>
      <c r="I110" s="117">
        <v>68.8</v>
      </c>
      <c r="J110" s="117">
        <v>52.8</v>
      </c>
      <c r="K110" s="117">
        <v>60.5</v>
      </c>
      <c r="L110" s="117">
        <v>60.5</v>
      </c>
      <c r="M110" s="117">
        <v>76.8</v>
      </c>
      <c r="N110" s="117">
        <v>87</v>
      </c>
      <c r="O110" s="117">
        <v>95.6</v>
      </c>
      <c r="P110" s="117">
        <v>89</v>
      </c>
      <c r="Q110" s="117">
        <v>88.9</v>
      </c>
      <c r="R110" s="117">
        <v>85.3</v>
      </c>
      <c r="S110" s="117">
        <v>77.599999999999994</v>
      </c>
      <c r="T110" s="117">
        <v>89.4</v>
      </c>
      <c r="U110" s="117">
        <v>91.2</v>
      </c>
      <c r="V110" s="117">
        <v>88.1</v>
      </c>
      <c r="W110" s="117">
        <v>88.4</v>
      </c>
      <c r="X110" s="117">
        <v>72.5</v>
      </c>
      <c r="Y110" s="117">
        <v>71.900000000000006</v>
      </c>
      <c r="Z110" s="117">
        <v>71.7</v>
      </c>
      <c r="AA110" s="117">
        <v>74.599999999999994</v>
      </c>
      <c r="AB110" s="117">
        <v>74</v>
      </c>
      <c r="AC110" s="117">
        <v>82</v>
      </c>
      <c r="AD110" s="117">
        <v>80</v>
      </c>
      <c r="AE110" s="117">
        <v>64</v>
      </c>
      <c r="AF110" s="117">
        <v>64</v>
      </c>
      <c r="AG110" s="118"/>
      <c r="AH110" s="47">
        <f t="shared" si="13"/>
        <v>95.6</v>
      </c>
      <c r="AI110" s="48">
        <f t="shared" si="14"/>
        <v>52.8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>
        <v>50.6</v>
      </c>
      <c r="J111" s="117">
        <v>38.200000000000003</v>
      </c>
      <c r="K111" s="117">
        <v>33.1</v>
      </c>
      <c r="L111" s="117">
        <v>33.1</v>
      </c>
      <c r="M111" s="117">
        <v>33.1</v>
      </c>
      <c r="N111" s="117">
        <v>40.6</v>
      </c>
      <c r="O111" s="117">
        <v>41.7</v>
      </c>
      <c r="P111" s="117">
        <v>39.9</v>
      </c>
      <c r="Q111" s="117"/>
      <c r="R111" s="117">
        <v>39</v>
      </c>
      <c r="S111" s="117">
        <v>40.299999999999997</v>
      </c>
      <c r="T111" s="117"/>
      <c r="U111" s="117"/>
      <c r="V111" s="117">
        <v>50</v>
      </c>
      <c r="W111" s="117"/>
      <c r="X111" s="117"/>
      <c r="Y111" s="117"/>
      <c r="Z111" s="117"/>
      <c r="AA111" s="117"/>
      <c r="AB111" s="117">
        <v>34</v>
      </c>
      <c r="AC111" s="117">
        <v>52.4</v>
      </c>
      <c r="AD111" s="117"/>
      <c r="AE111" s="117">
        <v>45</v>
      </c>
      <c r="AF111" s="117">
        <v>53</v>
      </c>
      <c r="AG111" s="119"/>
      <c r="AH111" s="47">
        <f t="shared" si="13"/>
        <v>53</v>
      </c>
      <c r="AI111" s="48">
        <f t="shared" si="14"/>
        <v>33.1</v>
      </c>
    </row>
    <row r="112" spans="1:35" x14ac:dyDescent="0.25">
      <c r="A112" s="120" t="s">
        <v>120</v>
      </c>
      <c r="B112" s="106">
        <v>1.2</v>
      </c>
      <c r="C112" s="106">
        <v>6.1</v>
      </c>
      <c r="D112" s="106">
        <v>6.4</v>
      </c>
      <c r="E112" s="106">
        <v>6.9</v>
      </c>
      <c r="F112" s="106">
        <v>0.9</v>
      </c>
      <c r="G112" s="106">
        <v>2.1</v>
      </c>
      <c r="H112" s="106">
        <v>-1.4</v>
      </c>
      <c r="I112" s="106">
        <v>-15.5</v>
      </c>
      <c r="J112" s="106">
        <v>-24.2</v>
      </c>
      <c r="K112" s="106">
        <v>-40.9</v>
      </c>
      <c r="L112" s="106">
        <v>-40.9</v>
      </c>
      <c r="M112" s="106">
        <v>-55.8</v>
      </c>
      <c r="N112" s="106">
        <v>-34.5</v>
      </c>
      <c r="O112" s="106">
        <v>-29.9</v>
      </c>
      <c r="P112" s="106">
        <v>-28.5</v>
      </c>
      <c r="Q112" s="106">
        <v>-22</v>
      </c>
      <c r="R112" s="106">
        <v>-17.5</v>
      </c>
      <c r="S112" s="106">
        <v>-27.3</v>
      </c>
      <c r="T112" s="106">
        <v>-18</v>
      </c>
      <c r="U112" s="106">
        <v>-35.5</v>
      </c>
      <c r="V112" s="106">
        <v>-35.9</v>
      </c>
      <c r="W112" s="106">
        <v>-47.1</v>
      </c>
      <c r="X112" s="106">
        <v>-62.2</v>
      </c>
      <c r="Y112" s="106">
        <v>-77.900000000000006</v>
      </c>
      <c r="Z112" s="106">
        <v>-56.9</v>
      </c>
      <c r="AA112" s="106">
        <v>-46.3</v>
      </c>
      <c r="AB112" s="106">
        <v>-34</v>
      </c>
      <c r="AC112" s="106">
        <v>-26.2</v>
      </c>
      <c r="AD112" s="106">
        <v>-19</v>
      </c>
      <c r="AE112" s="106">
        <v>-5.4</v>
      </c>
      <c r="AF112" s="106">
        <v>0</v>
      </c>
      <c r="AG112" s="119"/>
      <c r="AH112" s="47">
        <f t="shared" si="13"/>
        <v>6.9</v>
      </c>
      <c r="AI112" s="48">
        <f t="shared" si="14"/>
        <v>-77.900000000000006</v>
      </c>
    </row>
    <row r="113" spans="1:37" ht="15.75" thickBot="1" x14ac:dyDescent="0.3">
      <c r="A113" s="120" t="s">
        <v>121</v>
      </c>
      <c r="B113" s="106">
        <v>63.8</v>
      </c>
      <c r="C113" s="106">
        <v>65.400000000000006</v>
      </c>
      <c r="D113" s="106">
        <v>58.1</v>
      </c>
      <c r="E113" s="106">
        <v>64.8</v>
      </c>
      <c r="F113" s="106">
        <v>58.4</v>
      </c>
      <c r="G113" s="106">
        <v>54</v>
      </c>
      <c r="H113" s="106">
        <v>58.7</v>
      </c>
      <c r="I113" s="106">
        <v>56.9</v>
      </c>
      <c r="J113" s="106">
        <v>61.6</v>
      </c>
      <c r="K113" s="106">
        <v>54.8</v>
      </c>
      <c r="L113" s="106">
        <v>54.8</v>
      </c>
      <c r="M113" s="106">
        <v>66.400000000000006</v>
      </c>
      <c r="N113" s="106">
        <v>59</v>
      </c>
      <c r="O113" s="106">
        <v>53</v>
      </c>
      <c r="P113" s="106">
        <v>61.7</v>
      </c>
      <c r="Q113" s="106">
        <v>70</v>
      </c>
      <c r="R113" s="106">
        <v>80</v>
      </c>
      <c r="S113" s="106">
        <v>77.099999999999994</v>
      </c>
      <c r="T113" s="106">
        <v>72.2</v>
      </c>
      <c r="U113" s="106">
        <v>69.3</v>
      </c>
      <c r="V113" s="106">
        <v>69.099999999999994</v>
      </c>
      <c r="W113" s="106">
        <v>55.2</v>
      </c>
      <c r="X113" s="106">
        <v>60.6</v>
      </c>
      <c r="Y113" s="106">
        <v>82</v>
      </c>
      <c r="Z113" s="106">
        <v>75.900000000000006</v>
      </c>
      <c r="AA113" s="106">
        <v>64.3</v>
      </c>
      <c r="AB113" s="106">
        <v>60</v>
      </c>
      <c r="AC113" s="106">
        <v>73</v>
      </c>
      <c r="AD113" s="106">
        <v>71</v>
      </c>
      <c r="AE113" s="106">
        <v>73</v>
      </c>
      <c r="AF113" s="106">
        <v>62</v>
      </c>
      <c r="AG113" s="119"/>
      <c r="AH113" s="47">
        <f t="shared" si="13"/>
        <v>82</v>
      </c>
      <c r="AI113" s="48">
        <f t="shared" si="14"/>
        <v>53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7">SUM(B115:B219)</f>
        <v>0</v>
      </c>
      <c r="C220" s="136">
        <f t="shared" si="27"/>
        <v>0</v>
      </c>
      <c r="D220" s="136">
        <f t="shared" si="27"/>
        <v>0</v>
      </c>
      <c r="E220" s="136">
        <f t="shared" si="27"/>
        <v>0</v>
      </c>
      <c r="F220" s="136">
        <f t="shared" si="27"/>
        <v>0</v>
      </c>
      <c r="G220" s="136">
        <f t="shared" si="27"/>
        <v>0</v>
      </c>
      <c r="H220" s="136">
        <f t="shared" si="27"/>
        <v>0</v>
      </c>
      <c r="I220" s="136">
        <f t="shared" si="27"/>
        <v>0</v>
      </c>
      <c r="J220" s="136">
        <f t="shared" si="27"/>
        <v>0</v>
      </c>
      <c r="K220" s="136">
        <f t="shared" si="27"/>
        <v>0</v>
      </c>
      <c r="L220" s="136">
        <f t="shared" si="27"/>
        <v>0</v>
      </c>
      <c r="M220" s="136">
        <f t="shared" si="27"/>
        <v>0</v>
      </c>
      <c r="N220" s="136">
        <f t="shared" si="27"/>
        <v>0</v>
      </c>
      <c r="O220" s="136">
        <f t="shared" si="27"/>
        <v>0</v>
      </c>
      <c r="P220" s="136">
        <f t="shared" si="27"/>
        <v>0</v>
      </c>
      <c r="Q220" s="136">
        <f t="shared" si="27"/>
        <v>0</v>
      </c>
      <c r="R220" s="136">
        <f t="shared" si="27"/>
        <v>0</v>
      </c>
      <c r="S220" s="136">
        <f t="shared" si="27"/>
        <v>0</v>
      </c>
      <c r="T220" s="136">
        <f t="shared" si="27"/>
        <v>0</v>
      </c>
      <c r="U220" s="136">
        <f t="shared" si="27"/>
        <v>0</v>
      </c>
      <c r="V220" s="136">
        <f t="shared" si="27"/>
        <v>0</v>
      </c>
      <c r="W220" s="136">
        <f t="shared" si="27"/>
        <v>0</v>
      </c>
      <c r="X220" s="136">
        <f t="shared" si="27"/>
        <v>0</v>
      </c>
      <c r="Y220" s="136">
        <f t="shared" si="27"/>
        <v>0</v>
      </c>
      <c r="Z220" s="136">
        <f t="shared" si="27"/>
        <v>0</v>
      </c>
      <c r="AA220" s="136">
        <f t="shared" si="27"/>
        <v>0</v>
      </c>
      <c r="AB220" s="136">
        <f t="shared" si="27"/>
        <v>0</v>
      </c>
      <c r="AC220" s="136">
        <f t="shared" si="27"/>
        <v>0</v>
      </c>
      <c r="AD220" s="136">
        <f t="shared" si="27"/>
        <v>0</v>
      </c>
      <c r="AE220" s="136">
        <f t="shared" si="27"/>
        <v>0</v>
      </c>
      <c r="AF220" s="137">
        <f t="shared" si="27"/>
        <v>0</v>
      </c>
      <c r="AG220" s="138">
        <f t="shared" si="2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8">AF222</f>
        <v>0</v>
      </c>
      <c r="C222" s="140">
        <v>0.3</v>
      </c>
      <c r="D222" s="140">
        <f t="shared" ref="D222:P227" si="29">C222</f>
        <v>0.3</v>
      </c>
      <c r="E222" s="140">
        <f t="shared" si="29"/>
        <v>0.3</v>
      </c>
      <c r="F222" s="140">
        <f t="shared" si="29"/>
        <v>0.3</v>
      </c>
      <c r="G222" s="140">
        <f t="shared" si="29"/>
        <v>0.3</v>
      </c>
      <c r="H222" s="140">
        <f t="shared" si="29"/>
        <v>0.3</v>
      </c>
      <c r="I222" s="140">
        <f t="shared" si="29"/>
        <v>0.3</v>
      </c>
      <c r="J222" s="140">
        <f t="shared" si="29"/>
        <v>0.3</v>
      </c>
      <c r="K222" s="140">
        <f t="shared" si="29"/>
        <v>0.3</v>
      </c>
      <c r="L222" s="140">
        <f t="shared" si="29"/>
        <v>0.3</v>
      </c>
      <c r="M222" s="140">
        <f t="shared" si="29"/>
        <v>0.3</v>
      </c>
      <c r="N222" s="140">
        <f t="shared" si="29"/>
        <v>0.3</v>
      </c>
      <c r="O222" s="140">
        <f t="shared" si="29"/>
        <v>0.3</v>
      </c>
      <c r="P222" s="140">
        <f t="shared" si="2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8"/>
        <v>0</v>
      </c>
      <c r="C223" s="128">
        <v>0.4</v>
      </c>
      <c r="D223" s="128">
        <f t="shared" si="29"/>
        <v>0.4</v>
      </c>
      <c r="E223" s="128">
        <f t="shared" si="29"/>
        <v>0.4</v>
      </c>
      <c r="F223" s="128">
        <f t="shared" si="29"/>
        <v>0.4</v>
      </c>
      <c r="G223" s="128">
        <f t="shared" si="29"/>
        <v>0.4</v>
      </c>
      <c r="H223" s="128">
        <f t="shared" si="29"/>
        <v>0.4</v>
      </c>
      <c r="I223" s="128">
        <f t="shared" si="29"/>
        <v>0.4</v>
      </c>
      <c r="J223" s="128">
        <f t="shared" si="29"/>
        <v>0.4</v>
      </c>
      <c r="K223" s="128">
        <f t="shared" si="29"/>
        <v>0.4</v>
      </c>
      <c r="L223" s="128">
        <f t="shared" si="29"/>
        <v>0.4</v>
      </c>
      <c r="M223" s="128">
        <f t="shared" si="29"/>
        <v>0.4</v>
      </c>
      <c r="N223" s="128">
        <f t="shared" si="29"/>
        <v>0.4</v>
      </c>
      <c r="O223" s="128">
        <f t="shared" si="29"/>
        <v>0.4</v>
      </c>
      <c r="P223" s="128">
        <f t="shared" si="2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8"/>
        <v>0</v>
      </c>
      <c r="C224" s="128">
        <v>1.5</v>
      </c>
      <c r="D224" s="128">
        <f t="shared" si="29"/>
        <v>1.5</v>
      </c>
      <c r="E224" s="128">
        <f t="shared" si="29"/>
        <v>1.5</v>
      </c>
      <c r="F224" s="128">
        <f t="shared" si="29"/>
        <v>1.5</v>
      </c>
      <c r="G224" s="128">
        <f t="shared" si="29"/>
        <v>1.5</v>
      </c>
      <c r="H224" s="128">
        <f t="shared" si="2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9"/>
        <v>1.5</v>
      </c>
      <c r="K224" s="128">
        <f t="shared" ca="1" si="29"/>
        <v>1.5</v>
      </c>
      <c r="L224" s="128">
        <f t="shared" ca="1" si="29"/>
        <v>1.5</v>
      </c>
      <c r="M224" s="128">
        <f t="shared" ca="1" si="29"/>
        <v>1.5</v>
      </c>
      <c r="N224" s="128">
        <f t="shared" ca="1" si="29"/>
        <v>1.5</v>
      </c>
      <c r="O224" s="128">
        <f t="shared" ca="1" si="29"/>
        <v>1.5</v>
      </c>
      <c r="P224" s="128">
        <f t="shared" ca="1" si="2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8"/>
        <v>0</v>
      </c>
      <c r="C225" s="128">
        <v>0.3</v>
      </c>
      <c r="D225" s="128">
        <f t="shared" si="29"/>
        <v>0.3</v>
      </c>
      <c r="E225" s="128">
        <f t="shared" si="29"/>
        <v>0.3</v>
      </c>
      <c r="F225" s="128">
        <f t="shared" si="29"/>
        <v>0.3</v>
      </c>
      <c r="G225" s="128">
        <f t="shared" si="29"/>
        <v>0.3</v>
      </c>
      <c r="H225" s="128">
        <f t="shared" si="29"/>
        <v>0.3</v>
      </c>
      <c r="I225" s="128">
        <f t="shared" si="29"/>
        <v>0.3</v>
      </c>
      <c r="J225" s="128">
        <f t="shared" si="29"/>
        <v>0.3</v>
      </c>
      <c r="K225" s="128">
        <f t="shared" si="29"/>
        <v>0.3</v>
      </c>
      <c r="L225" s="128">
        <f t="shared" si="29"/>
        <v>0.3</v>
      </c>
      <c r="M225" s="128">
        <f t="shared" si="29"/>
        <v>0.3</v>
      </c>
      <c r="N225" s="128">
        <f t="shared" si="29"/>
        <v>0.3</v>
      </c>
      <c r="O225" s="128">
        <f t="shared" si="29"/>
        <v>0.3</v>
      </c>
      <c r="P225" s="128">
        <f t="shared" si="2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8"/>
        <v>0</v>
      </c>
      <c r="C226" s="128">
        <v>0.4</v>
      </c>
      <c r="D226" s="128">
        <f t="shared" si="29"/>
        <v>0.4</v>
      </c>
      <c r="E226" s="128">
        <f t="shared" si="29"/>
        <v>0.4</v>
      </c>
      <c r="F226" s="128">
        <f t="shared" si="29"/>
        <v>0.4</v>
      </c>
      <c r="G226" s="128">
        <f t="shared" si="29"/>
        <v>0.4</v>
      </c>
      <c r="H226" s="128">
        <f t="shared" si="29"/>
        <v>0.4</v>
      </c>
      <c r="I226" s="128">
        <f t="shared" si="29"/>
        <v>0.4</v>
      </c>
      <c r="J226" s="128">
        <f t="shared" si="29"/>
        <v>0.4</v>
      </c>
      <c r="K226" s="128">
        <f t="shared" si="29"/>
        <v>0.4</v>
      </c>
      <c r="L226" s="128">
        <f t="shared" si="29"/>
        <v>0.4</v>
      </c>
      <c r="M226" s="128">
        <f t="shared" si="29"/>
        <v>0.4</v>
      </c>
      <c r="N226" s="128">
        <f t="shared" si="29"/>
        <v>0.4</v>
      </c>
      <c r="O226" s="128">
        <f t="shared" si="29"/>
        <v>0.4</v>
      </c>
      <c r="P226" s="128">
        <f t="shared" si="2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8"/>
        <v>0</v>
      </c>
      <c r="C227" s="132">
        <v>0.64</v>
      </c>
      <c r="D227" s="132">
        <f t="shared" si="29"/>
        <v>0.64</v>
      </c>
      <c r="E227" s="132">
        <f t="shared" si="29"/>
        <v>0.64</v>
      </c>
      <c r="F227" s="132">
        <f t="shared" si="29"/>
        <v>0.64</v>
      </c>
      <c r="G227" s="132">
        <f t="shared" si="29"/>
        <v>0.64</v>
      </c>
      <c r="H227" s="132">
        <f t="shared" si="29"/>
        <v>0.64</v>
      </c>
      <c r="I227" s="132">
        <f t="shared" si="29"/>
        <v>0.64</v>
      </c>
      <c r="J227" s="132">
        <f t="shared" si="29"/>
        <v>0.64</v>
      </c>
      <c r="K227" s="132">
        <f t="shared" si="29"/>
        <v>0.64</v>
      </c>
      <c r="L227" s="132">
        <f t="shared" si="29"/>
        <v>0.64</v>
      </c>
      <c r="M227" s="132">
        <f t="shared" si="29"/>
        <v>0.64</v>
      </c>
      <c r="N227" s="132">
        <f t="shared" si="29"/>
        <v>0.64</v>
      </c>
      <c r="O227" s="132">
        <f t="shared" si="29"/>
        <v>0.64</v>
      </c>
      <c r="P227" s="132">
        <f t="shared" si="2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0">SUM(B222:B227)</f>
        <v>0</v>
      </c>
      <c r="C228" s="136">
        <f t="shared" si="30"/>
        <v>3.54</v>
      </c>
      <c r="D228" s="136">
        <f t="shared" si="30"/>
        <v>3.54</v>
      </c>
      <c r="E228" s="136">
        <f t="shared" si="30"/>
        <v>3.54</v>
      </c>
      <c r="F228" s="136">
        <f t="shared" si="30"/>
        <v>3.54</v>
      </c>
      <c r="G228" s="136">
        <f t="shared" si="30"/>
        <v>3.54</v>
      </c>
      <c r="H228" s="136">
        <f t="shared" si="30"/>
        <v>3.54</v>
      </c>
      <c r="I228" s="136">
        <f t="shared" ca="1" si="30"/>
        <v>3.54</v>
      </c>
      <c r="J228" s="136">
        <f t="shared" ca="1" si="30"/>
        <v>3.54</v>
      </c>
      <c r="K228" s="136">
        <f t="shared" ca="1" si="30"/>
        <v>3.54</v>
      </c>
      <c r="L228" s="136">
        <f t="shared" ca="1" si="30"/>
        <v>3.54</v>
      </c>
      <c r="M228" s="136">
        <f t="shared" ca="1" si="30"/>
        <v>3.54</v>
      </c>
      <c r="N228" s="136">
        <f t="shared" ca="1" si="30"/>
        <v>3.54</v>
      </c>
      <c r="O228" s="136">
        <f t="shared" ca="1" si="30"/>
        <v>3.54</v>
      </c>
      <c r="P228" s="136">
        <f t="shared" ca="1" si="30"/>
        <v>3.54</v>
      </c>
      <c r="Q228" s="136">
        <f t="shared" si="30"/>
        <v>0</v>
      </c>
      <c r="R228" s="136">
        <f t="shared" si="30"/>
        <v>0</v>
      </c>
      <c r="S228" s="136">
        <f t="shared" si="30"/>
        <v>0</v>
      </c>
      <c r="T228" s="136">
        <f t="shared" si="30"/>
        <v>0</v>
      </c>
      <c r="U228" s="136">
        <f t="shared" si="30"/>
        <v>0</v>
      </c>
      <c r="V228" s="136">
        <f t="shared" si="30"/>
        <v>0</v>
      </c>
      <c r="W228" s="136">
        <f t="shared" si="30"/>
        <v>0</v>
      </c>
      <c r="X228" s="136">
        <f t="shared" si="30"/>
        <v>0</v>
      </c>
      <c r="Y228" s="136">
        <f t="shared" si="30"/>
        <v>0</v>
      </c>
      <c r="Z228" s="136">
        <f t="shared" si="30"/>
        <v>0</v>
      </c>
      <c r="AA228" s="136">
        <f t="shared" si="30"/>
        <v>0</v>
      </c>
      <c r="AB228" s="136">
        <f t="shared" si="30"/>
        <v>0</v>
      </c>
      <c r="AC228" s="136">
        <f t="shared" si="30"/>
        <v>0</v>
      </c>
      <c r="AD228" s="136">
        <f t="shared" si="30"/>
        <v>0</v>
      </c>
      <c r="AE228" s="136">
        <f t="shared" si="30"/>
        <v>0</v>
      </c>
      <c r="AF228" s="136">
        <f t="shared" si="30"/>
        <v>0</v>
      </c>
      <c r="AG228" s="145">
        <f t="shared" si="3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1392.49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195" t="s">
        <v>241</v>
      </c>
      <c r="B239" s="195"/>
      <c r="C239" s="43"/>
      <c r="D239" s="162" t="str">
        <f ca="1">"Pie Chart of Daily Peak Demand(Inclusive of Export) of Nepal ("&amp;A4&amp;" "&amp;B4&amp;")"</f>
        <v>Pie Chart of Daily Peak Demand(Inclusive of Export) of Nepal (Nepali Date: 2079/11/13)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2079/11/13)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1">B85</f>
        <v>1008.79</v>
      </c>
      <c r="U242" s="170">
        <f t="shared" si="31"/>
        <v>977.99</v>
      </c>
      <c r="V242" s="170">
        <f t="shared" si="31"/>
        <v>968.58999999999992</v>
      </c>
      <c r="W242" s="170">
        <f t="shared" si="31"/>
        <v>964.29</v>
      </c>
      <c r="X242" s="170">
        <f t="shared" si="31"/>
        <v>970.68999999999983</v>
      </c>
      <c r="Y242" s="170">
        <f t="shared" si="31"/>
        <v>1021.4899999999999</v>
      </c>
      <c r="Z242" s="170">
        <f t="shared" si="31"/>
        <v>1057.8899999999999</v>
      </c>
      <c r="AA242" s="170">
        <f t="shared" si="31"/>
        <v>1124.99</v>
      </c>
      <c r="AB242" s="170">
        <f t="shared" si="31"/>
        <v>1116.79</v>
      </c>
      <c r="AC242" s="170">
        <f t="shared" si="31"/>
        <v>1112.19</v>
      </c>
      <c r="AD242" s="170">
        <f t="shared" si="31"/>
        <v>1301.5900000000001</v>
      </c>
      <c r="AE242" s="170">
        <f t="shared" si="31"/>
        <v>1388.39</v>
      </c>
      <c r="AF242" s="170">
        <f t="shared" si="31"/>
        <v>1392.49</v>
      </c>
      <c r="AG242" s="170">
        <f t="shared" si="31"/>
        <v>1342.3899999999999</v>
      </c>
      <c r="AH242" s="170">
        <f t="shared" si="31"/>
        <v>1145.19</v>
      </c>
      <c r="AI242" s="170">
        <f t="shared" si="31"/>
        <v>1177.19</v>
      </c>
      <c r="AJ242" s="170">
        <f t="shared" si="31"/>
        <v>1162.4899999999998</v>
      </c>
      <c r="AK242" s="170">
        <f t="shared" si="31"/>
        <v>1127.6399999999999</v>
      </c>
      <c r="AL242" s="170">
        <f t="shared" si="31"/>
        <v>1126.7399999999998</v>
      </c>
      <c r="AM242" s="170">
        <f t="shared" si="31"/>
        <v>1157.44</v>
      </c>
      <c r="AN242" s="170">
        <f t="shared" si="31"/>
        <v>1144.74</v>
      </c>
      <c r="AO242" s="170">
        <f t="shared" si="31"/>
        <v>1256.04</v>
      </c>
      <c r="AP242" s="170">
        <f t="shared" si="31"/>
        <v>1286.74</v>
      </c>
      <c r="AQ242" s="170">
        <f t="shared" si="31"/>
        <v>1453.1399999999999</v>
      </c>
      <c r="AR242" s="170">
        <f t="shared" si="31"/>
        <v>1445.3400000000001</v>
      </c>
      <c r="AS242" s="170">
        <f t="shared" si="31"/>
        <v>1377.74</v>
      </c>
      <c r="AT242" s="170">
        <f t="shared" si="31"/>
        <v>1218.24</v>
      </c>
      <c r="AU242" s="170">
        <f t="shared" si="31"/>
        <v>1214.04</v>
      </c>
      <c r="AV242" s="170">
        <f t="shared" si="31"/>
        <v>1162.24</v>
      </c>
      <c r="AW242" s="170">
        <f t="shared" si="31"/>
        <v>1112.24</v>
      </c>
      <c r="AX242" s="170">
        <f t="shared" si="31"/>
        <v>1041.3400000000001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2">C227</f>
        <v>0.64</v>
      </c>
      <c r="C263" s="173">
        <f t="shared" si="32"/>
        <v>0.64</v>
      </c>
      <c r="D263" s="173">
        <f t="shared" si="32"/>
        <v>0.64</v>
      </c>
      <c r="E263" s="173">
        <f t="shared" si="32"/>
        <v>0.64</v>
      </c>
      <c r="F263" s="173">
        <f t="shared" si="32"/>
        <v>0.64</v>
      </c>
      <c r="G263" s="173">
        <f t="shared" si="32"/>
        <v>0.64</v>
      </c>
      <c r="H263" s="173">
        <f t="shared" si="32"/>
        <v>0.64</v>
      </c>
      <c r="I263" s="173">
        <f t="shared" si="32"/>
        <v>0.64</v>
      </c>
      <c r="J263" s="173">
        <f t="shared" si="32"/>
        <v>0.64</v>
      </c>
      <c r="K263" s="173">
        <f t="shared" si="32"/>
        <v>0.64</v>
      </c>
      <c r="L263" s="173">
        <f t="shared" si="32"/>
        <v>0.64</v>
      </c>
      <c r="M263" s="173">
        <f t="shared" si="32"/>
        <v>0.64</v>
      </c>
      <c r="N263" s="173">
        <f t="shared" si="32"/>
        <v>0.64</v>
      </c>
      <c r="O263" s="173">
        <f t="shared" si="32"/>
        <v>0.64</v>
      </c>
      <c r="P263" s="173">
        <f t="shared" si="32"/>
        <v>0</v>
      </c>
      <c r="Q263" s="173">
        <f t="shared" si="32"/>
        <v>0</v>
      </c>
      <c r="R263" s="173">
        <f t="shared" si="32"/>
        <v>0</v>
      </c>
      <c r="S263" s="173">
        <f t="shared" si="32"/>
        <v>0</v>
      </c>
      <c r="T263" s="173">
        <f t="shared" si="32"/>
        <v>0</v>
      </c>
      <c r="U263" s="173">
        <f t="shared" si="32"/>
        <v>0</v>
      </c>
      <c r="V263" s="173">
        <f t="shared" si="32"/>
        <v>0</v>
      </c>
      <c r="W263" s="173">
        <f t="shared" si="32"/>
        <v>0</v>
      </c>
      <c r="X263" s="173">
        <f t="shared" si="32"/>
        <v>0</v>
      </c>
      <c r="Y263" s="173">
        <f t="shared" si="32"/>
        <v>0</v>
      </c>
      <c r="Z263" s="173">
        <f t="shared" si="32"/>
        <v>0</v>
      </c>
      <c r="AA263" s="173">
        <f t="shared" si="32"/>
        <v>0</v>
      </c>
      <c r="AB263" s="173">
        <f t="shared" si="32"/>
        <v>0</v>
      </c>
      <c r="AC263" s="173">
        <f t="shared" si="32"/>
        <v>0</v>
      </c>
      <c r="AD263" s="173">
        <f t="shared" si="32"/>
        <v>0</v>
      </c>
      <c r="AE263" s="173">
        <f t="shared" si="3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3">IF(B231&lt;100,"",B231-520)</f>
        <v/>
      </c>
      <c r="C264" s="174" t="str">
        <f t="shared" si="33"/>
        <v/>
      </c>
      <c r="D264" s="174" t="str">
        <f t="shared" si="33"/>
        <v/>
      </c>
      <c r="E264" s="174" t="str">
        <f t="shared" si="33"/>
        <v/>
      </c>
      <c r="F264" s="174" t="str">
        <f t="shared" si="33"/>
        <v/>
      </c>
      <c r="G264" s="174" t="str">
        <f t="shared" si="33"/>
        <v/>
      </c>
      <c r="H264" s="174" t="str">
        <f t="shared" si="33"/>
        <v/>
      </c>
      <c r="I264" s="174" t="str">
        <f t="shared" si="33"/>
        <v/>
      </c>
      <c r="J264" s="174" t="str">
        <f t="shared" si="33"/>
        <v/>
      </c>
      <c r="K264" s="174" t="str">
        <f t="shared" si="33"/>
        <v/>
      </c>
      <c r="L264" s="174" t="str">
        <f t="shared" si="33"/>
        <v/>
      </c>
      <c r="M264" s="174" t="str">
        <f t="shared" si="33"/>
        <v/>
      </c>
      <c r="N264" s="174" t="str">
        <f t="shared" si="33"/>
        <v/>
      </c>
      <c r="O264" s="174" t="str">
        <f t="shared" si="33"/>
        <v/>
      </c>
      <c r="P264" s="174" t="str">
        <f t="shared" si="33"/>
        <v/>
      </c>
      <c r="Q264" s="174" t="str">
        <f t="shared" si="33"/>
        <v/>
      </c>
      <c r="R264" s="174" t="str">
        <f t="shared" si="33"/>
        <v/>
      </c>
      <c r="S264" s="174" t="str">
        <f t="shared" si="33"/>
        <v/>
      </c>
      <c r="T264" s="174" t="str">
        <f t="shared" si="33"/>
        <v/>
      </c>
      <c r="U264" s="174" t="str">
        <f t="shared" si="33"/>
        <v/>
      </c>
      <c r="V264" s="174" t="str">
        <f t="shared" si="33"/>
        <v/>
      </c>
      <c r="W264" s="174" t="str">
        <f t="shared" si="33"/>
        <v/>
      </c>
      <c r="X264" s="174" t="str">
        <f t="shared" si="33"/>
        <v/>
      </c>
      <c r="Y264" s="174" t="str">
        <f t="shared" si="33"/>
        <v/>
      </c>
      <c r="Z264" s="174" t="str">
        <f t="shared" si="33"/>
        <v/>
      </c>
      <c r="AA264" s="174" t="str">
        <f t="shared" si="33"/>
        <v/>
      </c>
      <c r="AB264" s="174" t="str">
        <f t="shared" si="33"/>
        <v/>
      </c>
      <c r="AC264" s="174" t="str">
        <f t="shared" si="33"/>
        <v/>
      </c>
      <c r="AD264" s="174" t="str">
        <f t="shared" si="33"/>
        <v/>
      </c>
      <c r="AE264" s="174" t="str">
        <f t="shared" si="33"/>
        <v/>
      </c>
      <c r="AF264" s="174" t="str">
        <f t="shared" si="3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4">IF(B232&lt;100,"",B232-620)</f>
        <v/>
      </c>
      <c r="C265" s="174" t="str">
        <f t="shared" si="34"/>
        <v/>
      </c>
      <c r="D265" s="174" t="str">
        <f t="shared" si="34"/>
        <v/>
      </c>
      <c r="E265" s="174" t="str">
        <f t="shared" si="34"/>
        <v/>
      </c>
      <c r="F265" s="174" t="str">
        <f t="shared" si="34"/>
        <v/>
      </c>
      <c r="G265" s="174" t="str">
        <f t="shared" si="34"/>
        <v/>
      </c>
      <c r="H265" s="174" t="str">
        <f t="shared" si="34"/>
        <v/>
      </c>
      <c r="I265" s="174" t="str">
        <f t="shared" si="34"/>
        <v/>
      </c>
      <c r="J265" s="174" t="str">
        <f t="shared" si="34"/>
        <v/>
      </c>
      <c r="K265" s="174" t="str">
        <f t="shared" si="34"/>
        <v/>
      </c>
      <c r="L265" s="174" t="str">
        <f t="shared" si="34"/>
        <v/>
      </c>
      <c r="M265" s="174" t="str">
        <f t="shared" si="34"/>
        <v/>
      </c>
      <c r="N265" s="174" t="str">
        <f t="shared" si="34"/>
        <v/>
      </c>
      <c r="O265" s="174" t="str">
        <f t="shared" si="34"/>
        <v/>
      </c>
      <c r="P265" s="174" t="str">
        <f t="shared" si="34"/>
        <v/>
      </c>
      <c r="Q265" s="174" t="str">
        <f t="shared" si="34"/>
        <v/>
      </c>
      <c r="R265" s="174" t="str">
        <f t="shared" si="34"/>
        <v/>
      </c>
      <c r="S265" s="174" t="str">
        <f t="shared" si="34"/>
        <v/>
      </c>
      <c r="T265" s="174" t="str">
        <f t="shared" si="34"/>
        <v/>
      </c>
      <c r="U265" s="174" t="str">
        <f t="shared" si="34"/>
        <v/>
      </c>
      <c r="V265" s="174" t="str">
        <f t="shared" si="34"/>
        <v/>
      </c>
      <c r="W265" s="174" t="str">
        <f t="shared" si="34"/>
        <v/>
      </c>
      <c r="X265" s="174" t="str">
        <f t="shared" si="34"/>
        <v/>
      </c>
      <c r="Y265" s="174" t="str">
        <f t="shared" si="34"/>
        <v/>
      </c>
      <c r="Z265" s="174" t="str">
        <f t="shared" si="34"/>
        <v/>
      </c>
      <c r="AA265" s="174" t="str">
        <f t="shared" si="34"/>
        <v/>
      </c>
      <c r="AB265" s="174" t="str">
        <f t="shared" si="34"/>
        <v/>
      </c>
      <c r="AC265" s="174" t="str">
        <f t="shared" si="34"/>
        <v/>
      </c>
      <c r="AD265" s="174" t="str">
        <f t="shared" si="34"/>
        <v/>
      </c>
      <c r="AE265" s="174" t="str">
        <f t="shared" si="34"/>
        <v/>
      </c>
      <c r="AF265" s="174" t="str">
        <f t="shared" si="3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5">IF(B233&lt;100,"",B233-330)</f>
        <v/>
      </c>
      <c r="C266" s="174" t="str">
        <f t="shared" si="35"/>
        <v/>
      </c>
      <c r="D266" s="174" t="str">
        <f t="shared" si="35"/>
        <v/>
      </c>
      <c r="E266" s="174" t="str">
        <f t="shared" si="35"/>
        <v/>
      </c>
      <c r="F266" s="174" t="str">
        <f t="shared" si="35"/>
        <v/>
      </c>
      <c r="G266" s="174" t="str">
        <f t="shared" si="35"/>
        <v/>
      </c>
      <c r="H266" s="174" t="str">
        <f t="shared" si="35"/>
        <v/>
      </c>
      <c r="I266" s="174" t="str">
        <f t="shared" si="35"/>
        <v/>
      </c>
      <c r="J266" s="174" t="str">
        <f t="shared" si="35"/>
        <v/>
      </c>
      <c r="K266" s="174" t="str">
        <f t="shared" si="35"/>
        <v/>
      </c>
      <c r="L266" s="174" t="str">
        <f t="shared" si="35"/>
        <v/>
      </c>
      <c r="M266" s="174" t="str">
        <f t="shared" si="35"/>
        <v/>
      </c>
      <c r="N266" s="174" t="str">
        <f t="shared" si="35"/>
        <v/>
      </c>
      <c r="O266" s="174" t="str">
        <f t="shared" si="35"/>
        <v/>
      </c>
      <c r="P266" s="174" t="str">
        <f t="shared" si="35"/>
        <v/>
      </c>
      <c r="Q266" s="174" t="str">
        <f t="shared" si="35"/>
        <v/>
      </c>
      <c r="R266" s="174" t="str">
        <f t="shared" si="35"/>
        <v/>
      </c>
      <c r="S266" s="174" t="str">
        <f t="shared" si="35"/>
        <v/>
      </c>
      <c r="T266" s="174" t="str">
        <f t="shared" si="35"/>
        <v/>
      </c>
      <c r="U266" s="174" t="str">
        <f t="shared" si="35"/>
        <v/>
      </c>
      <c r="V266" s="174" t="str">
        <f t="shared" si="35"/>
        <v/>
      </c>
      <c r="W266" s="174" t="str">
        <f t="shared" si="35"/>
        <v/>
      </c>
      <c r="X266" s="174" t="str">
        <f t="shared" si="35"/>
        <v/>
      </c>
      <c r="Y266" s="174" t="str">
        <f t="shared" si="35"/>
        <v/>
      </c>
      <c r="Z266" s="174" t="str">
        <f t="shared" si="35"/>
        <v/>
      </c>
      <c r="AA266" s="174" t="str">
        <f t="shared" si="35"/>
        <v/>
      </c>
      <c r="AB266" s="174" t="str">
        <f t="shared" si="35"/>
        <v/>
      </c>
      <c r="AC266" s="174" t="str">
        <f t="shared" si="35"/>
        <v/>
      </c>
      <c r="AD266" s="174" t="str">
        <f t="shared" si="35"/>
        <v/>
      </c>
      <c r="AE266" s="174" t="str">
        <f t="shared" si="35"/>
        <v/>
      </c>
      <c r="AF266" s="174" t="str">
        <f t="shared" si="3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6">IF(B234&lt;100,"",B234-1500)</f>
        <v/>
      </c>
      <c r="C267" s="174" t="str">
        <f t="shared" si="36"/>
        <v/>
      </c>
      <c r="D267" s="174" t="str">
        <f t="shared" si="36"/>
        <v/>
      </c>
      <c r="E267" s="174" t="str">
        <f t="shared" si="36"/>
        <v/>
      </c>
      <c r="F267" s="174" t="str">
        <f t="shared" si="36"/>
        <v/>
      </c>
      <c r="G267" s="174" t="str">
        <f t="shared" si="36"/>
        <v/>
      </c>
      <c r="H267" s="174" t="str">
        <f t="shared" si="36"/>
        <v/>
      </c>
      <c r="I267" s="174" t="str">
        <f t="shared" si="36"/>
        <v/>
      </c>
      <c r="J267" s="174" t="str">
        <f t="shared" si="36"/>
        <v/>
      </c>
      <c r="K267" s="174" t="str">
        <f t="shared" si="36"/>
        <v/>
      </c>
      <c r="L267" s="174" t="str">
        <f t="shared" si="36"/>
        <v/>
      </c>
      <c r="M267" s="174" t="str">
        <f t="shared" si="36"/>
        <v/>
      </c>
      <c r="N267" s="174" t="str">
        <f t="shared" si="36"/>
        <v/>
      </c>
      <c r="O267" s="174" t="str">
        <f t="shared" si="36"/>
        <v/>
      </c>
      <c r="P267" s="174" t="str">
        <f t="shared" si="36"/>
        <v/>
      </c>
      <c r="Q267" s="174" t="str">
        <f t="shared" si="36"/>
        <v/>
      </c>
      <c r="R267" s="174" t="str">
        <f t="shared" si="36"/>
        <v/>
      </c>
      <c r="S267" s="174" t="str">
        <f t="shared" si="36"/>
        <v/>
      </c>
      <c r="T267" s="174" t="str">
        <f t="shared" si="36"/>
        <v/>
      </c>
      <c r="U267" s="174" t="str">
        <f t="shared" si="36"/>
        <v/>
      </c>
      <c r="V267" s="174" t="str">
        <f t="shared" si="36"/>
        <v/>
      </c>
      <c r="W267" s="174" t="str">
        <f t="shared" si="36"/>
        <v/>
      </c>
      <c r="X267" s="174" t="str">
        <f t="shared" si="36"/>
        <v/>
      </c>
      <c r="Y267" s="174" t="str">
        <f t="shared" si="36"/>
        <v/>
      </c>
      <c r="Z267" s="174" t="str">
        <f t="shared" si="36"/>
        <v/>
      </c>
      <c r="AA267" s="174" t="str">
        <f t="shared" si="36"/>
        <v/>
      </c>
      <c r="AB267" s="174" t="str">
        <f t="shared" si="36"/>
        <v/>
      </c>
      <c r="AC267" s="174" t="str">
        <f t="shared" si="36"/>
        <v/>
      </c>
      <c r="AD267" s="174" t="str">
        <f t="shared" si="36"/>
        <v/>
      </c>
      <c r="AE267" s="174" t="str">
        <f t="shared" si="36"/>
        <v/>
      </c>
      <c r="AF267" s="174" t="str">
        <f t="shared" si="3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7913" priority="323">
      <formula>B$9&gt;=20/24</formula>
    </cfRule>
    <cfRule type="expression" dxfId="7912" priority="324">
      <formula>AND(B$9&gt;=14/24,B$9&lt;20/24)</formula>
    </cfRule>
    <cfRule type="expression" dxfId="7911" priority="325">
      <formula>AND(B$9&gt;=8/24,B$9&lt;14/24)</formula>
    </cfRule>
    <cfRule type="expression" dxfId="7910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7909" priority="321">
      <formula>Y11&gt;$AG11</formula>
    </cfRule>
  </conditionalFormatting>
  <conditionalFormatting sqref="A95:A105 A55:A82 A91:A93 A198:A228 A42:A53 A114:A185 A38:A39 A87:A89 A84:A85 A107:A109 A35:A36 A17:A18 A11:A15 A20:A33">
    <cfRule type="expression" dxfId="7908" priority="320">
      <formula>$AH11=0</formula>
    </cfRule>
  </conditionalFormatting>
  <conditionalFormatting sqref="A110">
    <cfRule type="expression" dxfId="7907" priority="319">
      <formula>$AH110=0</formula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7906" priority="317">
      <formula>$AH41=0</formula>
    </cfRule>
  </conditionalFormatting>
  <conditionalFormatting sqref="A94">
    <cfRule type="expression" dxfId="7905" priority="316">
      <formula>$AH94=0</formula>
    </cfRule>
  </conditionalFormatting>
  <conditionalFormatting sqref="A16">
    <cfRule type="expression" dxfId="7904" priority="315">
      <formula>$AH16=0</formula>
    </cfRule>
  </conditionalFormatting>
  <conditionalFormatting sqref="A192:A197">
    <cfRule type="expression" dxfId="7903" priority="314">
      <formula>$AH192=0</formula>
    </cfRule>
  </conditionalFormatting>
  <conditionalFormatting sqref="A186:A191">
    <cfRule type="expression" dxfId="7902" priority="313">
      <formula>$AH186=0</formula>
    </cfRule>
  </conditionalFormatting>
  <conditionalFormatting sqref="A54">
    <cfRule type="expression" dxfId="7901" priority="312">
      <formula>$AH54=0</formula>
    </cfRule>
  </conditionalFormatting>
  <conditionalFormatting sqref="A90">
    <cfRule type="expression" dxfId="7900" priority="311">
      <formula>$AH90=0</formula>
    </cfRule>
  </conditionalFormatting>
  <conditionalFormatting sqref="AD95:AF95 E95:X95">
    <cfRule type="expression" dxfId="7899" priority="307">
      <formula>E$9&gt;=20/24</formula>
    </cfRule>
    <cfRule type="expression" dxfId="7898" priority="308">
      <formula>AND(E$9&gt;=14/24,E$9&lt;20/24)</formula>
    </cfRule>
    <cfRule type="expression" dxfId="7897" priority="309">
      <formula>AND(E$9&gt;=8/24,E$9&lt;14/24)</formula>
    </cfRule>
    <cfRule type="expression" dxfId="7896" priority="310">
      <formula>E$9&lt;8/24</formula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95" priority="329">
      <formula>C$9&gt;=20/24</formula>
    </cfRule>
    <cfRule type="expression" dxfId="7894" priority="330">
      <formula>AND(C$9&gt;=14/24,C$9&lt;20/24)</formula>
    </cfRule>
    <cfRule type="expression" dxfId="7893" priority="331">
      <formula>AND(C$9&gt;=8/24,C$9&lt;14/24)</formula>
    </cfRule>
    <cfRule type="expression" dxfId="7892" priority="332">
      <formula>C$9&lt;8/24</formula>
    </cfRule>
  </conditionalFormatting>
  <conditionalFormatting sqref="A229">
    <cfRule type="expression" dxfId="7891" priority="333">
      <formula>$AH229=0</formula>
    </cfRule>
  </conditionalFormatting>
  <conditionalFormatting sqref="AG241">
    <cfRule type="expression" dxfId="7890" priority="334">
      <formula>B$9&gt;=20/24</formula>
    </cfRule>
    <cfRule type="expression" dxfId="7889" priority="335">
      <formula>AND(B$9&gt;=14/24,B$9&lt;20/24)</formula>
    </cfRule>
    <cfRule type="expression" dxfId="7888" priority="336">
      <formula>AND(B$9&gt;=8/24,B$9&lt;14/24)</formula>
    </cfRule>
    <cfRule type="expression" dxfId="7887" priority="337">
      <formula>B$9&lt;8/24</formula>
    </cfRule>
  </conditionalFormatting>
  <conditionalFormatting sqref="S8">
    <cfRule type="expression" dxfId="7886" priority="302">
      <formula>U$9&gt;=20/24</formula>
    </cfRule>
    <cfRule type="expression" dxfId="7885" priority="303">
      <formula>AND(U$9&gt;=14/24,U$9&lt;20/24)</formula>
    </cfRule>
    <cfRule type="expression" dxfId="7884" priority="304">
      <formula>AND(U$9&gt;=8/24,U$9&lt;14/24)</formula>
    </cfRule>
    <cfRule type="expression" dxfId="7883" priority="305">
      <formula>U$9&lt;8/24</formula>
    </cfRule>
  </conditionalFormatting>
  <conditionalFormatting sqref="AB8">
    <cfRule type="expression" dxfId="7882" priority="298">
      <formula>AD$9&gt;=20/24</formula>
    </cfRule>
    <cfRule type="expression" dxfId="7881" priority="299">
      <formula>AND(AD$9&gt;=14/24,AD$9&lt;20/24)</formula>
    </cfRule>
    <cfRule type="expression" dxfId="7880" priority="300">
      <formula>AND(AD$9&gt;=8/24,AD$9&lt;14/24)</formula>
    </cfRule>
    <cfRule type="expression" dxfId="7879" priority="301">
      <formula>AD$9&lt;8/24</formula>
    </cfRule>
  </conditionalFormatting>
  <conditionalFormatting sqref="AH241:AX241">
    <cfRule type="expression" dxfId="7878" priority="338">
      <formula>AG$9&gt;=20/24</formula>
    </cfRule>
    <cfRule type="expression" dxfId="7877" priority="339">
      <formula>AND(AG$9&gt;=14/24,AG$9&lt;20/24)</formula>
    </cfRule>
    <cfRule type="expression" dxfId="7876" priority="340">
      <formula>AND(AG$9&gt;=8/24,AG$9&lt;14/24)</formula>
    </cfRule>
    <cfRule type="expression" dxfId="7875" priority="341">
      <formula>AG$9&lt;8/24</formula>
    </cfRule>
  </conditionalFormatting>
  <conditionalFormatting sqref="T241">
    <cfRule type="expression" dxfId="7874" priority="342">
      <formula>AX$9&gt;=20/24</formula>
    </cfRule>
    <cfRule type="expression" dxfId="7873" priority="343">
      <formula>AND(AX$9&gt;=14/24,AX$9&lt;20/24)</formula>
    </cfRule>
    <cfRule type="expression" dxfId="7872" priority="344">
      <formula>AND(AX$9&gt;=8/24,AX$9&lt;14/24)</formula>
    </cfRule>
    <cfRule type="expression" dxfId="7871" priority="345">
      <formula>AX$9&lt;8/24</formula>
    </cfRule>
  </conditionalFormatting>
  <conditionalFormatting sqref="A111:A112">
    <cfRule type="expression" dxfId="7870" priority="297">
      <formula>$AH111=0</formula>
    </cfRule>
  </conditionalFormatting>
  <conditionalFormatting sqref="X52:Y52 O50:Q56 Y53 Z52:AF53 E67:AF67">
    <cfRule type="expression" dxfId="7869" priority="293">
      <formula>E$9&gt;=20/24</formula>
    </cfRule>
    <cfRule type="expression" dxfId="7868" priority="294">
      <formula>AND(E$9&gt;=14/24,E$9&lt;20/24)</formula>
    </cfRule>
    <cfRule type="expression" dxfId="7867" priority="295">
      <formula>AND(E$9&gt;=8/24,E$9&lt;14/24)</formula>
    </cfRule>
    <cfRule type="expression" dxfId="7866" priority="296">
      <formula>E$9&lt;8/24</formula>
    </cfRule>
  </conditionalFormatting>
  <conditionalFormatting sqref="O49:Q49">
    <cfRule type="expression" dxfId="7865" priority="289">
      <formula>O$9&gt;=20/24</formula>
    </cfRule>
    <cfRule type="expression" dxfId="7864" priority="290">
      <formula>AND(O$9&gt;=14/24,O$9&lt;20/24)</formula>
    </cfRule>
    <cfRule type="expression" dxfId="7863" priority="291">
      <formula>AND(O$9&gt;=8/24,O$9&lt;14/24)</formula>
    </cfRule>
    <cfRule type="expression" dxfId="7862" priority="292">
      <formula>O$9&lt;8/24</formula>
    </cfRule>
  </conditionalFormatting>
  <conditionalFormatting sqref="X52:Y52 O49:Q56 Y53 Z52:AF53">
    <cfRule type="expression" dxfId="7861" priority="288">
      <formula>O49&gt;$AG49</formula>
    </cfRule>
  </conditionalFormatting>
  <conditionalFormatting sqref="D82:AF82 X43:AF43 X92:AF92 AD96:AF102 N96:X102 E68:AA69 X70:AA70 X63:AF65 AB68:AF70">
    <cfRule type="expression" dxfId="7860" priority="284">
      <formula>D$9&gt;=20/24</formula>
    </cfRule>
    <cfRule type="expression" dxfId="7859" priority="285">
      <formula>AND(D$9&gt;=14/24,D$9&lt;20/24)</formula>
    </cfRule>
    <cfRule type="expression" dxfId="7858" priority="286">
      <formula>AND(D$9&gt;=8/24,D$9&lt;14/24)</formula>
    </cfRule>
    <cfRule type="expression" dxfId="7857" priority="287">
      <formula>D$9&lt;8/24</formula>
    </cfRule>
  </conditionalFormatting>
  <conditionalFormatting sqref="X43:AF43 X63:AF65">
    <cfRule type="expression" dxfId="7856" priority="283">
      <formula>X43&gt;$AG43</formula>
    </cfRule>
  </conditionalFormatting>
  <conditionalFormatting sqref="R49:U56 V52:W56 X53:X56 V49:AF51">
    <cfRule type="expression" dxfId="7855" priority="279">
      <formula>R$9&gt;=20/24</formula>
    </cfRule>
    <cfRule type="expression" dxfId="7854" priority="280">
      <formula>AND(R$9&gt;=14/24,R$9&lt;20/24)</formula>
    </cfRule>
    <cfRule type="expression" dxfId="7853" priority="281">
      <formula>AND(R$9&gt;=8/24,R$9&lt;14/24)</formula>
    </cfRule>
    <cfRule type="expression" dxfId="7852" priority="282">
      <formula>R$9&lt;8/24</formula>
    </cfRule>
  </conditionalFormatting>
  <conditionalFormatting sqref="R49:U56 V52:W56 X53:X56 V49:AF51">
    <cfRule type="expression" dxfId="7851" priority="278">
      <formula>R49&gt;$AG49</formula>
    </cfRule>
  </conditionalFormatting>
  <conditionalFormatting sqref="C93:AF93 C84:AF84">
    <cfRule type="expression" dxfId="7850" priority="274">
      <formula>C$9&gt;=20/24</formula>
    </cfRule>
    <cfRule type="expression" dxfId="7849" priority="275">
      <formula>AND(C$9&gt;=14/24,C$9&lt;20/24)</formula>
    </cfRule>
    <cfRule type="expression" dxfId="7848" priority="276">
      <formula>AND(C$9&gt;=8/24,C$9&lt;14/24)</formula>
    </cfRule>
    <cfRule type="expression" dxfId="7847" priority="277">
      <formula>C$9&lt;8/24</formula>
    </cfRule>
  </conditionalFormatting>
  <conditionalFormatting sqref="T43:W43">
    <cfRule type="expression" dxfId="7846" priority="270">
      <formula>T$9&gt;=20/24</formula>
    </cfRule>
    <cfRule type="expression" dxfId="7845" priority="271">
      <formula>AND(T$9&gt;=14/24,T$9&lt;20/24)</formula>
    </cfRule>
    <cfRule type="expression" dxfId="7844" priority="272">
      <formula>AND(T$9&gt;=8/24,T$9&lt;14/24)</formula>
    </cfRule>
    <cfRule type="expression" dxfId="7843" priority="273">
      <formula>T$9&lt;8/24</formula>
    </cfRule>
  </conditionalFormatting>
  <conditionalFormatting sqref="T43:W43">
    <cfRule type="expression" dxfId="7842" priority="269">
      <formula>T43&gt;$AG43</formula>
    </cfRule>
  </conditionalFormatting>
  <conditionalFormatting sqref="E50:N51 Y42:AF42">
    <cfRule type="expression" dxfId="7841" priority="265">
      <formula>E$9&gt;=20/24</formula>
    </cfRule>
    <cfRule type="expression" dxfId="7840" priority="266">
      <formula>AND(E$9&gt;=14/24,E$9&lt;20/24)</formula>
    </cfRule>
    <cfRule type="expression" dxfId="7839" priority="267">
      <formula>AND(E$9&gt;=8/24,E$9&lt;14/24)</formula>
    </cfRule>
    <cfRule type="expression" dxfId="7838" priority="268">
      <formula>E$9&lt;8/24</formula>
    </cfRule>
  </conditionalFormatting>
  <conditionalFormatting sqref="E49:N49">
    <cfRule type="expression" dxfId="7837" priority="261">
      <formula>E$9&gt;=20/24</formula>
    </cfRule>
    <cfRule type="expression" dxfId="7836" priority="262">
      <formula>AND(E$9&gt;=14/24,E$9&lt;20/24)</formula>
    </cfRule>
    <cfRule type="expression" dxfId="7835" priority="263">
      <formula>AND(E$9&gt;=8/24,E$9&lt;14/24)</formula>
    </cfRule>
    <cfRule type="expression" dxfId="7834" priority="264">
      <formula>E$9&lt;8/24</formula>
    </cfRule>
  </conditionalFormatting>
  <conditionalFormatting sqref="E49:N51 Y42:AF42">
    <cfRule type="expression" dxfId="7833" priority="260">
      <formula>E42&gt;$AG42</formula>
    </cfRule>
  </conditionalFormatting>
  <conditionalFormatting sqref="AG66 AG83 E96:M102 R63:W65">
    <cfRule type="expression" dxfId="7832" priority="256">
      <formula>E$9&gt;=20/24</formula>
    </cfRule>
    <cfRule type="expression" dxfId="7831" priority="257">
      <formula>AND(E$9&gt;=14/24,E$9&lt;20/24)</formula>
    </cfRule>
    <cfRule type="expression" dxfId="7830" priority="258">
      <formula>AND(E$9&gt;=8/24,E$9&lt;14/24)</formula>
    </cfRule>
    <cfRule type="expression" dxfId="7829" priority="259">
      <formula>E$9&lt;8/24</formula>
    </cfRule>
  </conditionalFormatting>
  <conditionalFormatting sqref="AG44 AG62 AG66 R63:W65">
    <cfRule type="expression" dxfId="7828" priority="255">
      <formula>R44&gt;$AG44</formula>
    </cfRule>
  </conditionalFormatting>
  <conditionalFormatting sqref="Y54:AF54">
    <cfRule type="expression" dxfId="7827" priority="251">
      <formula>Y$9&gt;=20/24</formula>
    </cfRule>
    <cfRule type="expression" dxfId="7826" priority="252">
      <formula>AND(Y$9&gt;=14/24,Y$9&lt;20/24)</formula>
    </cfRule>
    <cfRule type="expression" dxfId="7825" priority="253">
      <formula>AND(Y$9&gt;=8/24,Y$9&lt;14/24)</formula>
    </cfRule>
    <cfRule type="expression" dxfId="7824" priority="254">
      <formula>Y$9&lt;8/24</formula>
    </cfRule>
  </conditionalFormatting>
  <conditionalFormatting sqref="Y54:AF54">
    <cfRule type="expression" dxfId="7823" priority="250">
      <formula>Y54&gt;$AG54</formula>
    </cfRule>
  </conditionalFormatting>
  <conditionalFormatting sqref="A40">
    <cfRule type="expression" dxfId="7822" priority="249">
      <formula>$AH40=0</formula>
    </cfRule>
  </conditionalFormatting>
  <conditionalFormatting sqref="X87:AF91">
    <cfRule type="expression" dxfId="7821" priority="245">
      <formula>X$9&gt;=20/24</formula>
    </cfRule>
    <cfRule type="expression" dxfId="7820" priority="246">
      <formula>AND(X$9&gt;=14/24,X$9&lt;20/24)</formula>
    </cfRule>
    <cfRule type="expression" dxfId="7819" priority="247">
      <formula>AND(X$9&gt;=8/24,X$9&lt;14/24)</formula>
    </cfRule>
    <cfRule type="expression" dxfId="7818" priority="248">
      <formula>X$9&lt;8/24</formula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7817" priority="241">
      <formula>E$9&gt;=20/24</formula>
    </cfRule>
    <cfRule type="expression" dxfId="7816" priority="242">
      <formula>AND(E$9&gt;=14/24,E$9&lt;20/24)</formula>
    </cfRule>
    <cfRule type="expression" dxfId="7815" priority="243">
      <formula>AND(E$9&gt;=8/24,E$9&lt;14/24)</formula>
    </cfRule>
    <cfRule type="expression" dxfId="7814" priority="244">
      <formula>E$9&lt;8/24</formula>
    </cfRule>
  </conditionalFormatting>
  <conditionalFormatting sqref="E45:AF47">
    <cfRule type="expression" dxfId="7813" priority="240">
      <formula>E45&gt;$AG45</formula>
    </cfRule>
  </conditionalFormatting>
  <conditionalFormatting sqref="AG48">
    <cfRule type="expression" dxfId="7812" priority="236">
      <formula>AG$9&gt;=20/24</formula>
    </cfRule>
    <cfRule type="expression" dxfId="7811" priority="237">
      <formula>AND(AG$9&gt;=14/24,AG$9&lt;20/24)</formula>
    </cfRule>
    <cfRule type="expression" dxfId="7810" priority="238">
      <formula>AND(AG$9&gt;=8/24,AG$9&lt;14/24)</formula>
    </cfRule>
    <cfRule type="expression" dxfId="7809" priority="239">
      <formula>AG$9&lt;8/24</formula>
    </cfRule>
  </conditionalFormatting>
  <conditionalFormatting sqref="AG48">
    <cfRule type="expression" dxfId="7808" priority="235">
      <formula>AG48&gt;$AG48</formula>
    </cfRule>
  </conditionalFormatting>
  <conditionalFormatting sqref="C103:AF103">
    <cfRule type="expression" dxfId="7807" priority="231">
      <formula>C$9&gt;=20/24</formula>
    </cfRule>
    <cfRule type="expression" dxfId="7806" priority="232">
      <formula>AND(C$9&gt;=14/24,C$9&lt;20/24)</formula>
    </cfRule>
    <cfRule type="expression" dxfId="7805" priority="233">
      <formula>AND(C$9&gt;=8/24,C$9&lt;14/24)</formula>
    </cfRule>
    <cfRule type="expression" dxfId="7804" priority="234">
      <formula>C$9&lt;8/24</formula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803" priority="229">
      <formula>$AH37=0</formula>
    </cfRule>
  </conditionalFormatting>
  <conditionalFormatting sqref="A86">
    <cfRule type="expression" dxfId="7802" priority="227">
      <formula>$AH86=0</formula>
    </cfRule>
  </conditionalFormatting>
  <conditionalFormatting sqref="A83">
    <cfRule type="expression" dxfId="7801" priority="228">
      <formula>$AH83=0</formula>
    </cfRule>
  </conditionalFormatting>
  <conditionalFormatting sqref="D106:AF106">
    <cfRule type="expression" dxfId="7800" priority="215">
      <formula>D$9&gt;=20/24</formula>
    </cfRule>
    <cfRule type="expression" dxfId="7799" priority="216">
      <formula>AND(D$9&gt;=14/24,D$9&lt;20/24)</formula>
    </cfRule>
    <cfRule type="expression" dxfId="7798" priority="217">
      <formula>AND(D$9&gt;=8/24,D$9&lt;14/24)</formula>
    </cfRule>
    <cfRule type="expression" dxfId="7797" priority="218">
      <formula>D$9&lt;8/24</formula>
    </cfRule>
  </conditionalFormatting>
  <conditionalFormatting sqref="A106">
    <cfRule type="expression" dxfId="7796" priority="214">
      <formula>$AH106=0</formula>
    </cfRule>
  </conditionalFormatting>
  <conditionalFormatting sqref="A19">
    <cfRule type="expression" dxfId="7795" priority="212">
      <formula>$AH19=0</formula>
    </cfRule>
  </conditionalFormatting>
  <conditionalFormatting sqref="AL19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794" priority="210">
      <formula>$AH34=0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7793" priority="206">
      <formula>Y$9&gt;=20/24</formula>
    </cfRule>
    <cfRule type="expression" dxfId="7792" priority="207">
      <formula>AND(Y$9&gt;=14/24,Y$9&lt;20/24)</formula>
    </cfRule>
    <cfRule type="expression" dxfId="7791" priority="208">
      <formula>AND(Y$9&gt;=8/24,Y$9&lt;14/24)</formula>
    </cfRule>
    <cfRule type="expression" dxfId="7790" priority="209">
      <formula>Y$9&lt;8/24</formula>
    </cfRule>
  </conditionalFormatting>
  <conditionalFormatting sqref="Y96:AC102">
    <cfRule type="expression" dxfId="7789" priority="202">
      <formula>Y$9&gt;=20/24</formula>
    </cfRule>
    <cfRule type="expression" dxfId="7788" priority="203">
      <formula>AND(Y$9&gt;=14/24,Y$9&lt;20/24)</formula>
    </cfRule>
    <cfRule type="expression" dxfId="7787" priority="204">
      <formula>AND(Y$9&gt;=8/24,Y$9&lt;14/24)</formula>
    </cfRule>
    <cfRule type="expression" dxfId="7786" priority="205">
      <formula>Y$9&lt;8/24</formula>
    </cfRule>
  </conditionalFormatting>
  <conditionalFormatting sqref="C105 C107:C112 R15:S15 S16 T15:X16">
    <cfRule type="expression" dxfId="7785" priority="198">
      <formula>C$9&gt;=20/24</formula>
    </cfRule>
    <cfRule type="expression" dxfId="7784" priority="199">
      <formula>AND(C$9&gt;=14/24,C$9&lt;20/24)</formula>
    </cfRule>
    <cfRule type="expression" dxfId="7783" priority="200">
      <formula>AND(C$9&gt;=8/24,C$9&lt;14/24)</formula>
    </cfRule>
    <cfRule type="expression" dxfId="7782" priority="201">
      <formula>C$9&lt;8/24</formula>
    </cfRule>
  </conditionalFormatting>
  <conditionalFormatting sqref="E43:S43">
    <cfRule type="expression" dxfId="7781" priority="194">
      <formula>E$9&gt;=20/24</formula>
    </cfRule>
    <cfRule type="expression" dxfId="7780" priority="195">
      <formula>AND(E$9&gt;=14/24,E$9&lt;20/24)</formula>
    </cfRule>
    <cfRule type="expression" dxfId="7779" priority="196">
      <formula>AND(E$9&gt;=8/24,E$9&lt;14/24)</formula>
    </cfRule>
    <cfRule type="expression" dxfId="7778" priority="197">
      <formula>E$9&lt;8/24</formula>
    </cfRule>
  </conditionalFormatting>
  <conditionalFormatting sqref="R15:S15 S16 E43:S43 T15:X16">
    <cfRule type="expression" dxfId="7777" priority="193">
      <formula>E15&gt;$AG15</formula>
    </cfRule>
  </conditionalFormatting>
  <conditionalFormatting sqref="C95:D95">
    <cfRule type="expression" dxfId="7776" priority="189">
      <formula>C$9&gt;=20/24</formula>
    </cfRule>
    <cfRule type="expression" dxfId="7775" priority="190">
      <formula>AND(C$9&gt;=14/24,C$9&lt;20/24)</formula>
    </cfRule>
    <cfRule type="expression" dxfId="7774" priority="191">
      <formula>AND(C$9&gt;=8/24,C$9&lt;14/24)</formula>
    </cfRule>
    <cfRule type="expression" dxfId="7773" priority="192">
      <formula>C$9&lt;8/24</formula>
    </cfRule>
  </conditionalFormatting>
  <conditionalFormatting sqref="C50:D51 C67:D67">
    <cfRule type="expression" dxfId="7772" priority="185">
      <formula>C$9&gt;=20/24</formula>
    </cfRule>
    <cfRule type="expression" dxfId="7771" priority="186">
      <formula>AND(C$9&gt;=14/24,C$9&lt;20/24)</formula>
    </cfRule>
    <cfRule type="expression" dxfId="7770" priority="187">
      <formula>AND(C$9&gt;=8/24,C$9&lt;14/24)</formula>
    </cfRule>
    <cfRule type="expression" dxfId="7769" priority="188">
      <formula>C$9&lt;8/24</formula>
    </cfRule>
  </conditionalFormatting>
  <conditionalFormatting sqref="C49:D49">
    <cfRule type="expression" dxfId="7768" priority="181">
      <formula>C$9&gt;=20/24</formula>
    </cfRule>
    <cfRule type="expression" dxfId="7767" priority="182">
      <formula>AND(C$9&gt;=14/24,C$9&lt;20/24)</formula>
    </cfRule>
    <cfRule type="expression" dxfId="7766" priority="183">
      <formula>AND(C$9&gt;=8/24,C$9&lt;14/24)</formula>
    </cfRule>
    <cfRule type="expression" dxfId="7765" priority="184">
      <formula>C$9&lt;8/24</formula>
    </cfRule>
  </conditionalFormatting>
  <conditionalFormatting sqref="C49:D51">
    <cfRule type="expression" dxfId="7764" priority="180">
      <formula>C49&gt;$AG49</formula>
    </cfRule>
  </conditionalFormatting>
  <conditionalFormatting sqref="C82 C96:D102 C92:W92 C79:AF81 C68:D72 C63:Q65 E70:Q72 R72:AA72 V70:W70 R70:U71 V71:AA71 AB71:AF72">
    <cfRule type="expression" dxfId="7763" priority="176">
      <formula>C$9&gt;=20/24</formula>
    </cfRule>
    <cfRule type="expression" dxfId="7762" priority="177">
      <formula>AND(C$9&gt;=14/24,C$9&lt;20/24)</formula>
    </cfRule>
    <cfRule type="expression" dxfId="7761" priority="178">
      <formula>AND(C$9&gt;=8/24,C$9&lt;14/24)</formula>
    </cfRule>
    <cfRule type="expression" dxfId="7760" priority="179">
      <formula>C$9&lt;8/24</formula>
    </cfRule>
  </conditionalFormatting>
  <conditionalFormatting sqref="C52:N53 C63:Q65">
    <cfRule type="expression" dxfId="7759" priority="175">
      <formula>C52&gt;$AG52</formula>
    </cfRule>
  </conditionalFormatting>
  <conditionalFormatting sqref="C54:N54">
    <cfRule type="expression" dxfId="7758" priority="171">
      <formula>C$9&gt;=20/24</formula>
    </cfRule>
    <cfRule type="expression" dxfId="7757" priority="172">
      <formula>AND(C$9&gt;=14/24,C$9&lt;20/24)</formula>
    </cfRule>
    <cfRule type="expression" dxfId="7756" priority="173">
      <formula>AND(C$9&gt;=8/24,C$9&lt;14/24)</formula>
    </cfRule>
    <cfRule type="expression" dxfId="7755" priority="174">
      <formula>C$9&lt;8/24</formula>
    </cfRule>
  </conditionalFormatting>
  <conditionalFormatting sqref="C54:N54">
    <cfRule type="expression" dxfId="7754" priority="170">
      <formula>C54&gt;$AG54</formula>
    </cfRule>
  </conditionalFormatting>
  <conditionalFormatting sqref="C83:AF83 C85:AF85 C94:AF94 C66:AF66">
    <cfRule type="expression" dxfId="7753" priority="157">
      <formula>C$9&gt;=20/24</formula>
    </cfRule>
    <cfRule type="expression" dxfId="7752" priority="158">
      <formula>AND(C$9&gt;=14/24,C$9&lt;20/24)</formula>
    </cfRule>
    <cfRule type="expression" dxfId="7751" priority="159">
      <formula>AND(C$9&gt;=8/24,C$9&lt;14/24)</formula>
    </cfRule>
    <cfRule type="expression" dxfId="7750" priority="160">
      <formula>C$9&lt;8/24</formula>
    </cfRule>
  </conditionalFormatting>
  <conditionalFormatting sqref="C44:AF44 C61:AF62 C66:AF66">
    <cfRule type="expression" dxfId="7749" priority="156">
      <formula>C44&gt;$AG44</formula>
    </cfRule>
  </conditionalFormatting>
  <conditionalFormatting sqref="C78:AF78">
    <cfRule type="expression" dxfId="7748" priority="152">
      <formula>C$9&gt;=20/24</formula>
    </cfRule>
    <cfRule type="expression" dxfId="7747" priority="153">
      <formula>AND(C$9&gt;=14/24,C$9&lt;20/24)</formula>
    </cfRule>
    <cfRule type="expression" dxfId="7746" priority="154">
      <formula>AND(C$9&gt;=8/24,C$9&lt;14/24)</formula>
    </cfRule>
    <cfRule type="expression" dxfId="7745" priority="155">
      <formula>C$9&lt;8/24</formula>
    </cfRule>
  </conditionalFormatting>
  <conditionalFormatting sqref="C87:W91">
    <cfRule type="expression" dxfId="7744" priority="148">
      <formula>C$9&gt;=20/24</formula>
    </cfRule>
    <cfRule type="expression" dxfId="7743" priority="149">
      <formula>AND(C$9&gt;=14/24,C$9&lt;20/24)</formula>
    </cfRule>
    <cfRule type="expression" dxfId="7742" priority="150">
      <formula>AND(C$9&gt;=8/24,C$9&lt;14/24)</formula>
    </cfRule>
    <cfRule type="expression" dxfId="7741" priority="151">
      <formula>C$9&lt;8/24</formula>
    </cfRule>
  </conditionalFormatting>
  <conditionalFormatting sqref="C45:D47">
    <cfRule type="expression" dxfId="7740" priority="144">
      <formula>C$9&gt;=20/24</formula>
    </cfRule>
    <cfRule type="expression" dxfId="7739" priority="145">
      <formula>AND(C$9&gt;=14/24,C$9&lt;20/24)</formula>
    </cfRule>
    <cfRule type="expression" dxfId="7738" priority="146">
      <formula>AND(C$9&gt;=8/24,C$9&lt;14/24)</formula>
    </cfRule>
    <cfRule type="expression" dxfId="7737" priority="147">
      <formula>C$9&lt;8/24</formula>
    </cfRule>
  </conditionalFormatting>
  <conditionalFormatting sqref="C45:D47">
    <cfRule type="expression" dxfId="7736" priority="143">
      <formula>C45&gt;$AG45</formula>
    </cfRule>
  </conditionalFormatting>
  <conditionalFormatting sqref="C48:AF48">
    <cfRule type="expression" dxfId="7735" priority="139">
      <formula>C$9&gt;=20/24</formula>
    </cfRule>
    <cfRule type="expression" dxfId="7734" priority="140">
      <formula>AND(C$9&gt;=14/24,C$9&lt;20/24)</formula>
    </cfRule>
    <cfRule type="expression" dxfId="7733" priority="141">
      <formula>AND(C$9&gt;=8/24,C$9&lt;14/24)</formula>
    </cfRule>
    <cfRule type="expression" dxfId="7732" priority="142">
      <formula>C$9&lt;8/24</formula>
    </cfRule>
  </conditionalFormatting>
  <conditionalFormatting sqref="C48:AF48">
    <cfRule type="expression" dxfId="7731" priority="138">
      <formula>C48&gt;$AG48</formula>
    </cfRule>
  </conditionalFormatting>
  <conditionalFormatting sqref="C106">
    <cfRule type="expression" dxfId="7730" priority="122">
      <formula>C$9&gt;=20/24</formula>
    </cfRule>
    <cfRule type="expression" dxfId="7729" priority="123">
      <formula>AND(C$9&gt;=14/24,C$9&lt;20/24)</formula>
    </cfRule>
    <cfRule type="expression" dxfId="7728" priority="124">
      <formula>AND(C$9&gt;=8/24,C$9&lt;14/24)</formula>
    </cfRule>
    <cfRule type="expression" dxfId="7727" priority="125">
      <formula>C$9&lt;8/24</formula>
    </cfRule>
  </conditionalFormatting>
  <conditionalFormatting sqref="O57:Q57 R57:X60 Y55:AF60">
    <cfRule type="expression" dxfId="7726" priority="118">
      <formula>O$9&gt;=20/24</formula>
    </cfRule>
    <cfRule type="expression" dxfId="7725" priority="119">
      <formula>AND(O$9&gt;=14/24,O$9&lt;20/24)</formula>
    </cfRule>
    <cfRule type="expression" dxfId="7724" priority="120">
      <formula>AND(O$9&gt;=8/24,O$9&lt;14/24)</formula>
    </cfRule>
    <cfRule type="expression" dxfId="7723" priority="121">
      <formula>O$9&lt;8/24</formula>
    </cfRule>
  </conditionalFormatting>
  <conditionalFormatting sqref="O57:Q57 R57:X60 Y55:AF60">
    <cfRule type="expression" dxfId="7722" priority="117">
      <formula>O55&gt;$AG55</formula>
    </cfRule>
  </conditionalFormatting>
  <conditionalFormatting sqref="O12:X14">
    <cfRule type="expression" dxfId="7721" priority="116">
      <formula>O12&gt;$AG12</formula>
    </cfRule>
  </conditionalFormatting>
  <conditionalFormatting sqref="O11:X11">
    <cfRule type="expression" dxfId="7720" priority="112">
      <formula>O$9&gt;=20/24</formula>
    </cfRule>
    <cfRule type="expression" dxfId="7719" priority="113">
      <formula>AND(O$9&gt;=14/24,O$9&lt;20/24)</formula>
    </cfRule>
    <cfRule type="expression" dxfId="7718" priority="114">
      <formula>AND(O$9&gt;=8/24,O$9&lt;14/24)</formula>
    </cfRule>
    <cfRule type="expression" dxfId="7717" priority="115">
      <formula>O$9&lt;8/24</formula>
    </cfRule>
  </conditionalFormatting>
  <conditionalFormatting sqref="O11:X11">
    <cfRule type="expression" dxfId="7716" priority="111">
      <formula>O11&gt;$AG11</formula>
    </cfRule>
  </conditionalFormatting>
  <conditionalFormatting sqref="O12:X14">
    <cfRule type="expression" dxfId="7715" priority="107">
      <formula>O$9&gt;=20/24</formula>
    </cfRule>
    <cfRule type="expression" dxfId="7714" priority="108">
      <formula>AND(O$9&gt;=14/24,O$9&lt;20/24)</formula>
    </cfRule>
    <cfRule type="expression" dxfId="7713" priority="109">
      <formula>AND(O$9&gt;=8/24,O$9&lt;14/24)</formula>
    </cfRule>
    <cfRule type="expression" dxfId="7712" priority="110">
      <formula>O$9&lt;8/24</formula>
    </cfRule>
  </conditionalFormatting>
  <conditionalFormatting sqref="C73:AF77">
    <cfRule type="expression" dxfId="7711" priority="99">
      <formula>C$9&gt;=20/24</formula>
    </cfRule>
    <cfRule type="expression" dxfId="7710" priority="100">
      <formula>AND(C$9&gt;=14/24,C$9&lt;20/24)</formula>
    </cfRule>
    <cfRule type="expression" dxfId="7709" priority="101">
      <formula>AND(C$9&gt;=8/24,C$9&lt;14/24)</formula>
    </cfRule>
    <cfRule type="expression" dxfId="7708" priority="102">
      <formula>C$9&lt;8/24</formula>
    </cfRule>
  </conditionalFormatting>
  <conditionalFormatting sqref="AL74:AN74 AL80:AN80 AN75:AN76">
    <cfRule type="expression" dxfId="7707" priority="95">
      <formula>AL$9&gt;=20/24</formula>
    </cfRule>
    <cfRule type="expression" dxfId="7706" priority="96">
      <formula>AND(AL$9&gt;=14/24,AL$9&lt;20/24)</formula>
    </cfRule>
    <cfRule type="expression" dxfId="7705" priority="97">
      <formula>AND(AL$9&gt;=8/24,AL$9&lt;14/24)</formula>
    </cfRule>
    <cfRule type="expression" dxfId="7704" priority="98">
      <formula>AL$9&lt;8/24</formula>
    </cfRule>
  </conditionalFormatting>
  <conditionalFormatting sqref="AN77:AN78">
    <cfRule type="expression" dxfId="7703" priority="91">
      <formula>AN$9&gt;=20/24</formula>
    </cfRule>
    <cfRule type="expression" dxfId="7702" priority="92">
      <formula>AND(AN$9&gt;=14/24,AN$9&lt;20/24)</formula>
    </cfRule>
    <cfRule type="expression" dxfId="7701" priority="93">
      <formula>AND(AN$9&gt;=8/24,AN$9&lt;14/24)</formula>
    </cfRule>
    <cfRule type="expression" dxfId="7700" priority="94">
      <formula>AN$9&lt;8/24</formula>
    </cfRule>
  </conditionalFormatting>
  <conditionalFormatting sqref="AL75:AM79">
    <cfRule type="expression" dxfId="7699" priority="347">
      <formula>AJ$9&gt;=20/24</formula>
    </cfRule>
    <cfRule type="expression" dxfId="7698" priority="348">
      <formula>AND(AJ$9&gt;=14/24,AJ$9&lt;20/24)</formula>
    </cfRule>
    <cfRule type="expression" dxfId="7697" priority="349">
      <formula>AND(AJ$9&gt;=8/24,AJ$9&lt;14/24)</formula>
    </cfRule>
    <cfRule type="expression" dxfId="7696" priority="350">
      <formula>AJ$9&lt;8/24</formula>
    </cfRule>
  </conditionalFormatting>
  <conditionalFormatting sqref="A113">
    <cfRule type="expression" dxfId="7695" priority="90">
      <formula>$AH113=0</formula>
    </cfRule>
  </conditionalFormatting>
  <conditionalFormatting sqref="B105 B107:B112 B11:N41 O15:Q41 R16:R41 S17:X41">
    <cfRule type="expression" dxfId="7694" priority="86">
      <formula>B$9&gt;=20/24</formula>
    </cfRule>
    <cfRule type="expression" dxfId="7693" priority="87">
      <formula>AND(B$9&gt;=14/24,B$9&lt;20/24)</formula>
    </cfRule>
    <cfRule type="expression" dxfId="7692" priority="88">
      <formula>AND(B$9&gt;=8/24,B$9&lt;14/24)</formula>
    </cfRule>
    <cfRule type="expression" dxfId="7691" priority="89">
      <formula>B$9&lt;8/24</formula>
    </cfRule>
  </conditionalFormatting>
  <conditionalFormatting sqref="B11:N41 O15:Q41 R16:R41 S17:X41">
    <cfRule type="expression" dxfId="7690" priority="85">
      <formula>B11&gt;$AG11</formula>
    </cfRule>
  </conditionalFormatting>
  <conditionalFormatting sqref="B95">
    <cfRule type="expression" dxfId="7689" priority="81">
      <formula>B$9&gt;=20/24</formula>
    </cfRule>
    <cfRule type="expression" dxfId="7688" priority="82">
      <formula>AND(B$9&gt;=14/24,B$9&lt;20/24)</formula>
    </cfRule>
    <cfRule type="expression" dxfId="7687" priority="83">
      <formula>AND(B$9&gt;=8/24,B$9&lt;14/24)</formula>
    </cfRule>
    <cfRule type="expression" dxfId="7686" priority="84">
      <formula>B$9&lt;8/24</formula>
    </cfRule>
  </conditionalFormatting>
  <conditionalFormatting sqref="B50:B53 B67">
    <cfRule type="expression" dxfId="7685" priority="77">
      <formula>B$9&gt;=20/24</formula>
    </cfRule>
    <cfRule type="expression" dxfId="7684" priority="78">
      <formula>AND(B$9&gt;=14/24,B$9&lt;20/24)</formula>
    </cfRule>
    <cfRule type="expression" dxfId="7683" priority="79">
      <formula>AND(B$9&gt;=8/24,B$9&lt;14/24)</formula>
    </cfRule>
    <cfRule type="expression" dxfId="7682" priority="80">
      <formula>B$9&lt;8/24</formula>
    </cfRule>
  </conditionalFormatting>
  <conditionalFormatting sqref="B49">
    <cfRule type="expression" dxfId="7681" priority="73">
      <formula>B$9&gt;=20/24</formula>
    </cfRule>
    <cfRule type="expression" dxfId="7680" priority="74">
      <formula>AND(B$9&gt;=14/24,B$9&lt;20/24)</formula>
    </cfRule>
    <cfRule type="expression" dxfId="7679" priority="75">
      <formula>AND(B$9&gt;=8/24,B$9&lt;14/24)</formula>
    </cfRule>
    <cfRule type="expression" dxfId="7678" priority="76">
      <formula>B$9&lt;8/24</formula>
    </cfRule>
  </conditionalFormatting>
  <conditionalFormatting sqref="B49:B53">
    <cfRule type="expression" dxfId="7677" priority="72">
      <formula>B49&gt;$AG49</formula>
    </cfRule>
  </conditionalFormatting>
  <conditionalFormatting sqref="B82 B92 B96:B102 B63:B65 B68:B70 B43:D43">
    <cfRule type="expression" dxfId="7676" priority="68">
      <formula>B$9&gt;=20/24</formula>
    </cfRule>
    <cfRule type="expression" dxfId="7675" priority="69">
      <formula>AND(B$9&gt;=14/24,B$9&lt;20/24)</formula>
    </cfRule>
    <cfRule type="expression" dxfId="7674" priority="70">
      <formula>AND(B$9&gt;=8/24,B$9&lt;14/24)</formula>
    </cfRule>
    <cfRule type="expression" dxfId="7673" priority="71">
      <formula>B$9&lt;8/24</formula>
    </cfRule>
  </conditionalFormatting>
  <conditionalFormatting sqref="B63:B65 B43:D43">
    <cfRule type="expression" dxfId="7672" priority="67">
      <formula>B43&gt;$AG43</formula>
    </cfRule>
  </conditionalFormatting>
  <conditionalFormatting sqref="B93 B84">
    <cfRule type="expression" dxfId="7671" priority="63">
      <formula>B$9&gt;=20/24</formula>
    </cfRule>
    <cfRule type="expression" dxfId="7670" priority="64">
      <formula>AND(B$9&gt;=14/24,B$9&lt;20/24)</formula>
    </cfRule>
    <cfRule type="expression" dxfId="7669" priority="65">
      <formula>AND(B$9&gt;=8/24,B$9&lt;14/24)</formula>
    </cfRule>
    <cfRule type="expression" dxfId="7668" priority="66">
      <formula>B$9&lt;8/24</formula>
    </cfRule>
  </conditionalFormatting>
  <conditionalFormatting sqref="B42:X42">
    <cfRule type="expression" dxfId="7667" priority="59">
      <formula>B$9&gt;=20/24</formula>
    </cfRule>
    <cfRule type="expression" dxfId="7666" priority="60">
      <formula>AND(B$9&gt;=14/24,B$9&lt;20/24)</formula>
    </cfRule>
    <cfRule type="expression" dxfId="7665" priority="61">
      <formula>AND(B$9&gt;=8/24,B$9&lt;14/24)</formula>
    </cfRule>
    <cfRule type="expression" dxfId="7664" priority="62">
      <formula>B$9&lt;8/24</formula>
    </cfRule>
  </conditionalFormatting>
  <conditionalFormatting sqref="B42:X42">
    <cfRule type="expression" dxfId="7663" priority="58">
      <formula>B42&gt;$AG42</formula>
    </cfRule>
  </conditionalFormatting>
  <conditionalFormatting sqref="B54">
    <cfRule type="expression" dxfId="7662" priority="54">
      <formula>B$9&gt;=20/24</formula>
    </cfRule>
    <cfRule type="expression" dxfId="7661" priority="55">
      <formula>AND(B$9&gt;=14/24,B$9&lt;20/24)</formula>
    </cfRule>
    <cfRule type="expression" dxfId="7660" priority="56">
      <formula>AND(B$9&gt;=8/24,B$9&lt;14/24)</formula>
    </cfRule>
    <cfRule type="expression" dxfId="7659" priority="57">
      <formula>B$9&lt;8/24</formula>
    </cfRule>
  </conditionalFormatting>
  <conditionalFormatting sqref="B54">
    <cfRule type="expression" dxfId="7658" priority="53">
      <formula>B54&gt;$AG54</formula>
    </cfRule>
  </conditionalFormatting>
  <conditionalFormatting sqref="B87:B91">
    <cfRule type="expression" dxfId="7657" priority="49">
      <formula>B$9&gt;=20/24</formula>
    </cfRule>
    <cfRule type="expression" dxfId="7656" priority="50">
      <formula>AND(B$9&gt;=14/24,B$9&lt;20/24)</formula>
    </cfRule>
    <cfRule type="expression" dxfId="7655" priority="51">
      <formula>AND(B$9&gt;=8/24,B$9&lt;14/24)</formula>
    </cfRule>
    <cfRule type="expression" dxfId="7654" priority="52">
      <formula>B$9&lt;8/24</formula>
    </cfRule>
  </conditionalFormatting>
  <conditionalFormatting sqref="B45:B47">
    <cfRule type="expression" dxfId="7653" priority="45">
      <formula>B$9&gt;=20/24</formula>
    </cfRule>
    <cfRule type="expression" dxfId="7652" priority="46">
      <formula>AND(B$9&gt;=14/24,B$9&lt;20/24)</formula>
    </cfRule>
    <cfRule type="expression" dxfId="7651" priority="47">
      <formula>AND(B$9&gt;=8/24,B$9&lt;14/24)</formula>
    </cfRule>
    <cfRule type="expression" dxfId="7650" priority="48">
      <formula>B$9&lt;8/24</formula>
    </cfRule>
  </conditionalFormatting>
  <conditionalFormatting sqref="B45:B47">
    <cfRule type="expression" dxfId="7649" priority="44">
      <formula>B45&gt;$AG45</formula>
    </cfRule>
  </conditionalFormatting>
  <conditionalFormatting sqref="B103">
    <cfRule type="expression" dxfId="7648" priority="40">
      <formula>B$9&gt;=20/24</formula>
    </cfRule>
    <cfRule type="expression" dxfId="7647" priority="41">
      <formula>AND(B$9&gt;=14/24,B$9&lt;20/24)</formula>
    </cfRule>
    <cfRule type="expression" dxfId="7646" priority="42">
      <formula>AND(B$9&gt;=8/24,B$9&lt;14/24)</formula>
    </cfRule>
    <cfRule type="expression" dxfId="7645" priority="43">
      <formula>B$9&lt;8/24</formula>
    </cfRule>
  </conditionalFormatting>
  <conditionalFormatting sqref="B106">
    <cfRule type="expression" dxfId="7644" priority="32">
      <formula>B$9&gt;=20/24</formula>
    </cfRule>
    <cfRule type="expression" dxfId="7643" priority="33">
      <formula>AND(B$9&gt;=14/24,B$9&lt;20/24)</formula>
    </cfRule>
    <cfRule type="expression" dxfId="7642" priority="34">
      <formula>AND(B$9&gt;=8/24,B$9&lt;14/24)</formula>
    </cfRule>
    <cfRule type="expression" dxfId="7641" priority="35">
      <formula>B$9&lt;8/24</formula>
    </cfRule>
  </conditionalFormatting>
  <conditionalFormatting sqref="B79:B81 B71:B72">
    <cfRule type="expression" dxfId="7640" priority="28">
      <formula>B$9&gt;=20/24</formula>
    </cfRule>
    <cfRule type="expression" dxfId="7639" priority="29">
      <formula>AND(B$9&gt;=14/24,B$9&lt;20/24)</formula>
    </cfRule>
    <cfRule type="expression" dxfId="7638" priority="30">
      <formula>AND(B$9&gt;=8/24,B$9&lt;14/24)</formula>
    </cfRule>
    <cfRule type="expression" dxfId="7637" priority="31">
      <formula>B$9&lt;8/24</formula>
    </cfRule>
  </conditionalFormatting>
  <conditionalFormatting sqref="B66 B83 B85 B94">
    <cfRule type="expression" dxfId="7636" priority="24">
      <formula>B$9&gt;=20/24</formula>
    </cfRule>
    <cfRule type="expression" dxfId="7635" priority="25">
      <formula>AND(B$9&gt;=14/24,B$9&lt;20/24)</formula>
    </cfRule>
    <cfRule type="expression" dxfId="7634" priority="26">
      <formula>AND(B$9&gt;=8/24,B$9&lt;14/24)</formula>
    </cfRule>
    <cfRule type="expression" dxfId="7633" priority="27">
      <formula>B$9&lt;8/24</formula>
    </cfRule>
  </conditionalFormatting>
  <conditionalFormatting sqref="B61:B62 B66 B44">
    <cfRule type="expression" dxfId="7632" priority="23">
      <formula>B44&gt;$AG44</formula>
    </cfRule>
  </conditionalFormatting>
  <conditionalFormatting sqref="B78">
    <cfRule type="expression" dxfId="7631" priority="19">
      <formula>B$9&gt;=20/24</formula>
    </cfRule>
    <cfRule type="expression" dxfId="7630" priority="20">
      <formula>AND(B$9&gt;=14/24,B$9&lt;20/24)</formula>
    </cfRule>
    <cfRule type="expression" dxfId="7629" priority="21">
      <formula>AND(B$9&gt;=8/24,B$9&lt;14/24)</formula>
    </cfRule>
    <cfRule type="expression" dxfId="7628" priority="22">
      <formula>B$9&lt;8/24</formula>
    </cfRule>
  </conditionalFormatting>
  <conditionalFormatting sqref="B48">
    <cfRule type="expression" dxfId="7627" priority="15">
      <formula>B$9&gt;=20/24</formula>
    </cfRule>
    <cfRule type="expression" dxfId="7626" priority="16">
      <formula>AND(B$9&gt;=14/24,B$9&lt;20/24)</formula>
    </cfRule>
    <cfRule type="expression" dxfId="7625" priority="17">
      <formula>AND(B$9&gt;=8/24,B$9&lt;14/24)</formula>
    </cfRule>
    <cfRule type="expression" dxfId="7624" priority="18">
      <formula>B$9&lt;8/24</formula>
    </cfRule>
  </conditionalFormatting>
  <conditionalFormatting sqref="B48">
    <cfRule type="expression" dxfId="7623" priority="14">
      <formula>B48&gt;$AG48</formula>
    </cfRule>
  </conditionalFormatting>
  <conditionalFormatting sqref="B55:N60 O58:Q60">
    <cfRule type="expression" dxfId="7622" priority="6">
      <formula>B$9&gt;=20/24</formula>
    </cfRule>
    <cfRule type="expression" dxfId="7621" priority="7">
      <formula>AND(B$9&gt;=14/24,B$9&lt;20/24)</formula>
    </cfRule>
    <cfRule type="expression" dxfId="7620" priority="8">
      <formula>AND(B$9&gt;=8/24,B$9&lt;14/24)</formula>
    </cfRule>
    <cfRule type="expression" dxfId="7619" priority="9">
      <formula>B$9&lt;8/24</formula>
    </cfRule>
  </conditionalFormatting>
  <conditionalFormatting sqref="B55:N60 O58:Q60">
    <cfRule type="expression" dxfId="7618" priority="5">
      <formula>B55&gt;$AG55</formula>
    </cfRule>
  </conditionalFormatting>
  <conditionalFormatting sqref="B73:B77">
    <cfRule type="expression" dxfId="7617" priority="1">
      <formula>B$9&gt;=20/24</formula>
    </cfRule>
    <cfRule type="expression" dxfId="7616" priority="2">
      <formula>AND(B$9&gt;=14/24,B$9&lt;20/24)</formula>
    </cfRule>
    <cfRule type="expression" dxfId="7615" priority="3">
      <formula>AND(B$9&gt;=8/24,B$9&lt;14/24)</formula>
    </cfRule>
    <cfRule type="expression" dxfId="7614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3" id="{FA8C894E-CA2F-47A7-A646-E7D43D2EE57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4" id="{118A5F16-7D6E-477B-A042-ED0DACDD099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5" id="{9F85D2E0-0EDA-4FD1-964C-8D74B6E929E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6" id="{D894EA10-708E-4E9A-BCB1-989FDA7ACBB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219" id="{C376EE83-C2BE-41D9-828B-5AF9A8027FE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0" id="{5F86DE90-8010-4EAF-ADB7-75825DDBCE1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1" id="{909A5002-4417-463F-BEE9-3119F36C53E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2" id="{9E8D29F0-CB26-45E5-8070-017912F4455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130" id="{C2DE116F-F2DB-4ACB-BE7E-8F92845446F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E403A521-B443-44B2-94A0-DFDAF069B34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97E64FF6-32F2-475B-BA84-E327EAC8059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98E70091-1A50-4DBA-A3AA-FCE120E1934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36" id="{5020BDA3-93CF-4A79-BE13-3E64F800A78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0623A427-E515-4CEE-B1CC-7EB4B5F1E8D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385CCB49-C7BE-4DBB-A402-7EDACAF37C7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A21340E2-3C09-45C1-8E70-B47DAFEB964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10" id="{8E499653-7CFB-4704-A661-1761C941E09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D2240D6E-DAE5-43BE-A4A0-6131C31212B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D6D3BD83-2F8B-48C0-9F6A-D3EB780BA52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AF1DFCEC-EE68-4905-89DF-349AFC543CD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78"/>
  <sheetViews>
    <sheetView workbookViewId="0">
      <pane ySplit="10" topLeftCell="A77" activePane="bottomLeft" state="frozen"/>
      <selection activeCell="Z85" sqref="Z85"/>
      <selection pane="bottomLeft" activeCell="R9" sqref="R9:R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2079/11/14</v>
      </c>
      <c r="C4" s="208"/>
      <c r="D4" s="208"/>
      <c r="E4" s="209" t="str">
        <f ca="1">"2079/"&amp;"11/"&amp;INT(MID(CELL("filename",G6),FIND("]",CELL("filename",G6))+1,200))</f>
        <v>2079/11/14</v>
      </c>
      <c r="F4" s="209"/>
      <c r="G4" s="209"/>
      <c r="H4" s="209" t="str">
        <f ca="1">TEXT(E4,"dddd")</f>
        <v>Tuesday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323</v>
      </c>
      <c r="C5" s="30">
        <f t="shared" si="0"/>
        <v>384</v>
      </c>
      <c r="D5" s="30">
        <f t="shared" si="0"/>
        <v>385</v>
      </c>
      <c r="E5" s="30">
        <f t="shared" si="0"/>
        <v>392</v>
      </c>
      <c r="F5" s="30">
        <f t="shared" si="0"/>
        <v>419</v>
      </c>
      <c r="G5" s="30">
        <f t="shared" si="0"/>
        <v>456.1</v>
      </c>
      <c r="H5" s="30">
        <f t="shared" si="0"/>
        <v>459.7</v>
      </c>
      <c r="I5" s="30">
        <f t="shared" si="0"/>
        <v>430.7</v>
      </c>
      <c r="J5" s="30">
        <f t="shared" si="0"/>
        <v>474</v>
      </c>
      <c r="K5" s="30">
        <f t="shared" si="0"/>
        <v>311</v>
      </c>
      <c r="L5" s="30">
        <f t="shared" si="0"/>
        <v>293.29999999999995</v>
      </c>
      <c r="M5" s="30">
        <f t="shared" si="0"/>
        <v>428</v>
      </c>
      <c r="N5" s="30">
        <f t="shared" si="0"/>
        <v>465.7</v>
      </c>
      <c r="O5" s="30">
        <f t="shared" si="0"/>
        <v>476.8</v>
      </c>
      <c r="P5" s="30">
        <f t="shared" si="0"/>
        <v>468.90000000000003</v>
      </c>
      <c r="Q5" s="30">
        <f t="shared" si="0"/>
        <v>469.4</v>
      </c>
      <c r="R5" s="30">
        <f t="shared" si="0"/>
        <v>497.4</v>
      </c>
      <c r="S5" s="30">
        <f t="shared" si="0"/>
        <v>486.2</v>
      </c>
      <c r="T5" s="30">
        <f t="shared" si="0"/>
        <v>484.2</v>
      </c>
      <c r="U5" s="30">
        <f t="shared" si="0"/>
        <v>495.2</v>
      </c>
      <c r="V5" s="30">
        <f t="shared" si="0"/>
        <v>516.5</v>
      </c>
      <c r="W5" s="30">
        <f t="shared" si="0"/>
        <v>454</v>
      </c>
      <c r="X5" s="30">
        <f t="shared" si="0"/>
        <v>450</v>
      </c>
      <c r="Y5" s="30">
        <f t="shared" si="0"/>
        <v>420</v>
      </c>
      <c r="Z5" s="30">
        <f t="shared" si="0"/>
        <v>430.6</v>
      </c>
      <c r="AA5" s="30">
        <f t="shared" si="0"/>
        <v>486</v>
      </c>
      <c r="AB5" s="30">
        <f t="shared" si="0"/>
        <v>484.8</v>
      </c>
      <c r="AC5" s="30">
        <f t="shared" si="0"/>
        <v>491.5</v>
      </c>
      <c r="AD5" s="30">
        <f t="shared" si="0"/>
        <v>469.9</v>
      </c>
      <c r="AE5" s="30">
        <f t="shared" si="0"/>
        <v>487.3</v>
      </c>
      <c r="AF5" s="30">
        <f>B82</f>
        <v>394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1442MW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Load=932</v>
      </c>
      <c r="B7" s="35">
        <f t="shared" ref="B7:AF7" si="1">B89</f>
        <v>1002.84</v>
      </c>
      <c r="C7" s="35">
        <f t="shared" si="1"/>
        <v>931.84</v>
      </c>
      <c r="D7" s="35">
        <f t="shared" si="1"/>
        <v>977.24</v>
      </c>
      <c r="E7" s="35">
        <f t="shared" si="1"/>
        <v>959.24</v>
      </c>
      <c r="F7" s="35">
        <f t="shared" si="1"/>
        <v>956.54</v>
      </c>
      <c r="G7" s="35">
        <f t="shared" si="1"/>
        <v>1016.84</v>
      </c>
      <c r="H7" s="35">
        <f t="shared" si="1"/>
        <v>1097.24</v>
      </c>
      <c r="I7" s="35">
        <f t="shared" si="1"/>
        <v>1179.8399999999999</v>
      </c>
      <c r="J7" s="35">
        <f t="shared" si="1"/>
        <v>1254.6399999999999</v>
      </c>
      <c r="K7" s="35">
        <f t="shared" si="1"/>
        <v>1352.2399999999998</v>
      </c>
      <c r="L7" s="35">
        <f t="shared" si="1"/>
        <v>1433.7400000000002</v>
      </c>
      <c r="M7" s="35">
        <f t="shared" si="1"/>
        <v>1442.34</v>
      </c>
      <c r="N7" s="35">
        <f>N89</f>
        <v>1380.1399999999999</v>
      </c>
      <c r="O7" s="35">
        <f t="shared" si="1"/>
        <v>1350.24</v>
      </c>
      <c r="P7" s="35">
        <f t="shared" si="1"/>
        <v>1313.44</v>
      </c>
      <c r="Q7" s="35">
        <f t="shared" si="1"/>
        <v>1239.54</v>
      </c>
      <c r="R7" s="35">
        <f t="shared" si="1"/>
        <v>1244.94</v>
      </c>
      <c r="S7" s="35">
        <f t="shared" si="1"/>
        <v>1262.8400000000001</v>
      </c>
      <c r="T7" s="35">
        <f t="shared" si="1"/>
        <v>1284.6400000000001</v>
      </c>
      <c r="U7" s="35">
        <f t="shared" si="1"/>
        <v>1298.8399999999999</v>
      </c>
      <c r="V7" s="35">
        <f t="shared" si="1"/>
        <v>1243.44</v>
      </c>
      <c r="W7" s="35">
        <f t="shared" si="1"/>
        <v>1241.6399999999999</v>
      </c>
      <c r="X7" s="35">
        <f t="shared" si="1"/>
        <v>1463.3400000000001</v>
      </c>
      <c r="Y7" s="35">
        <f t="shared" si="1"/>
        <v>1555.3400000000001</v>
      </c>
      <c r="Z7" s="35">
        <f t="shared" si="1"/>
        <v>1539.14</v>
      </c>
      <c r="AA7" s="35">
        <f t="shared" si="1"/>
        <v>1515.74</v>
      </c>
      <c r="AB7" s="35">
        <f t="shared" si="1"/>
        <v>1417.44</v>
      </c>
      <c r="AC7" s="35">
        <f t="shared" si="1"/>
        <v>1367.04</v>
      </c>
      <c r="AD7" s="35">
        <f t="shared" si="1"/>
        <v>1339.34</v>
      </c>
      <c r="AE7" s="35">
        <f t="shared" si="1"/>
        <v>1129.94</v>
      </c>
      <c r="AF7" s="35">
        <f t="shared" si="1"/>
        <v>1076.1400000000001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6.5" thickTop="1" thickBot="1" x14ac:dyDescent="0.3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" si="2">MAX(B11:AF11)</f>
        <v>25</v>
      </c>
      <c r="AI11" s="48">
        <f t="shared" ref="AI11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ht="15.75" x14ac:dyDescent="0.25">
      <c r="A12" s="44" t="s">
        <v>19</v>
      </c>
      <c r="B12" s="45">
        <v>13.7</v>
      </c>
      <c r="C12" s="45">
        <v>13.7</v>
      </c>
      <c r="D12" s="45">
        <v>13.7</v>
      </c>
      <c r="E12" s="45">
        <v>16.600000000000001</v>
      </c>
      <c r="F12" s="45">
        <v>15.9</v>
      </c>
      <c r="G12" s="45">
        <v>15.9</v>
      </c>
      <c r="H12" s="45">
        <v>14</v>
      </c>
      <c r="I12" s="45">
        <v>14</v>
      </c>
      <c r="J12" s="45">
        <v>14.3</v>
      </c>
      <c r="K12" s="45">
        <v>14.3</v>
      </c>
      <c r="L12" s="45">
        <v>14.3</v>
      </c>
      <c r="M12" s="45">
        <v>14.3</v>
      </c>
      <c r="N12" s="45">
        <v>14.3</v>
      </c>
      <c r="O12" s="45">
        <v>14.3</v>
      </c>
      <c r="P12" s="45">
        <v>14.4</v>
      </c>
      <c r="Q12" s="45">
        <v>14.4</v>
      </c>
      <c r="R12" s="45">
        <v>14.4</v>
      </c>
      <c r="S12" s="45">
        <v>14.4</v>
      </c>
      <c r="T12" s="45">
        <v>14.4</v>
      </c>
      <c r="U12" s="45">
        <v>16.899999999999999</v>
      </c>
      <c r="V12" s="45">
        <v>16.899999999999999</v>
      </c>
      <c r="W12" s="45">
        <v>16.899999999999999</v>
      </c>
      <c r="X12" s="45">
        <v>16.899999999999999</v>
      </c>
      <c r="Y12" s="176">
        <v>16.899999999999999</v>
      </c>
      <c r="Z12" s="176">
        <v>16.899999999999999</v>
      </c>
      <c r="AA12" s="176">
        <v>16.899999999999999</v>
      </c>
      <c r="AB12" s="45">
        <v>14.1</v>
      </c>
      <c r="AC12" s="45">
        <v>14.1</v>
      </c>
      <c r="AD12" s="45">
        <v>14.1</v>
      </c>
      <c r="AE12" s="45">
        <v>14.1</v>
      </c>
      <c r="AF12" s="45">
        <v>14.1</v>
      </c>
      <c r="AG12" s="46">
        <v>52.4</v>
      </c>
      <c r="AH12" s="47">
        <f t="shared" ref="AH12:AH78" si="4">MAX(B12:AF12)</f>
        <v>16.899999999999999</v>
      </c>
      <c r="AI12" s="48">
        <f t="shared" ref="AI12:AI78" si="5">MIN(B12:AF12)</f>
        <v>13.7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ht="15.75" x14ac:dyDescent="0.25">
      <c r="A13" s="44" t="s">
        <v>20</v>
      </c>
      <c r="B13" s="45">
        <v>30.3</v>
      </c>
      <c r="C13" s="45">
        <v>30.3</v>
      </c>
      <c r="D13" s="45">
        <v>30.3</v>
      </c>
      <c r="E13" s="45">
        <v>34.6</v>
      </c>
      <c r="F13" s="45">
        <v>34.5</v>
      </c>
      <c r="G13" s="45">
        <v>34.5</v>
      </c>
      <c r="H13" s="45">
        <v>34.700000000000003</v>
      </c>
      <c r="I13" s="45">
        <v>34.700000000000003</v>
      </c>
      <c r="J13" s="45">
        <v>34.5</v>
      </c>
      <c r="K13" s="45">
        <v>34.5</v>
      </c>
      <c r="L13" s="45">
        <v>34.5</v>
      </c>
      <c r="M13" s="45">
        <v>31.5</v>
      </c>
      <c r="N13" s="45">
        <v>31.5</v>
      </c>
      <c r="O13" s="45">
        <v>31.5</v>
      </c>
      <c r="P13" s="45">
        <v>31.4</v>
      </c>
      <c r="Q13" s="45">
        <v>31.4</v>
      </c>
      <c r="R13" s="45">
        <v>31.4</v>
      </c>
      <c r="S13" s="45">
        <v>31.4</v>
      </c>
      <c r="T13" s="45">
        <v>31.4</v>
      </c>
      <c r="U13" s="45">
        <v>31.4</v>
      </c>
      <c r="V13" s="45">
        <v>31.4</v>
      </c>
      <c r="W13" s="45">
        <v>31.4</v>
      </c>
      <c r="X13" s="45">
        <v>31.4</v>
      </c>
      <c r="Y13" s="177">
        <v>31.4</v>
      </c>
      <c r="Z13" s="177">
        <v>31.4</v>
      </c>
      <c r="AA13" s="177">
        <v>31.4</v>
      </c>
      <c r="AB13" s="45">
        <v>30.7</v>
      </c>
      <c r="AC13" s="45">
        <v>30.7</v>
      </c>
      <c r="AD13" s="45">
        <v>30.7</v>
      </c>
      <c r="AE13" s="45">
        <v>30.7</v>
      </c>
      <c r="AF13" s="45">
        <v>30.7</v>
      </c>
      <c r="AG13" s="50">
        <v>50</v>
      </c>
      <c r="AH13" s="47">
        <f t="shared" si="4"/>
        <v>34.700000000000003</v>
      </c>
      <c r="AI13" s="48">
        <f t="shared" si="5"/>
        <v>30.3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x14ac:dyDescent="0.25">
      <c r="A14" s="44" t="s">
        <v>21</v>
      </c>
      <c r="B14" s="45">
        <v>15.3</v>
      </c>
      <c r="C14" s="45">
        <v>15.3</v>
      </c>
      <c r="D14" s="45">
        <v>15.3</v>
      </c>
      <c r="E14" s="45">
        <v>16.100000000000001</v>
      </c>
      <c r="F14" s="45">
        <v>19.100000000000001</v>
      </c>
      <c r="G14" s="45">
        <v>19.100000000000001</v>
      </c>
      <c r="H14" s="45">
        <v>19.100000000000001</v>
      </c>
      <c r="I14" s="45">
        <v>19.100000000000001</v>
      </c>
      <c r="J14" s="45">
        <v>15.5</v>
      </c>
      <c r="K14" s="45">
        <v>15.5</v>
      </c>
      <c r="L14" s="45">
        <v>15.5</v>
      </c>
      <c r="M14" s="45">
        <v>16</v>
      </c>
      <c r="N14" s="45">
        <v>16</v>
      </c>
      <c r="O14" s="45">
        <v>16</v>
      </c>
      <c r="P14" s="45">
        <v>15.3</v>
      </c>
      <c r="Q14" s="45">
        <v>15.3</v>
      </c>
      <c r="R14" s="45">
        <v>15.3</v>
      </c>
      <c r="S14" s="45">
        <v>15.3</v>
      </c>
      <c r="T14" s="45">
        <v>15.3</v>
      </c>
      <c r="U14" s="45">
        <v>15.3</v>
      </c>
      <c r="V14" s="45">
        <v>15.3</v>
      </c>
      <c r="W14" s="45">
        <v>15.3</v>
      </c>
      <c r="X14" s="45">
        <v>15.3</v>
      </c>
      <c r="Y14" s="177">
        <v>15.3</v>
      </c>
      <c r="Z14" s="177">
        <v>15.3</v>
      </c>
      <c r="AA14" s="177">
        <v>15.3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50">
        <v>45</v>
      </c>
      <c r="AH14" s="47">
        <f t="shared" si="4"/>
        <v>19.100000000000001</v>
      </c>
      <c r="AI14" s="48">
        <f t="shared" si="5"/>
        <v>15.3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x14ac:dyDescent="0.25">
      <c r="A15" s="44" t="s">
        <v>22</v>
      </c>
      <c r="B15" s="45">
        <v>12</v>
      </c>
      <c r="C15" s="45">
        <v>12</v>
      </c>
      <c r="D15" s="45">
        <v>12</v>
      </c>
      <c r="E15" s="45">
        <v>9</v>
      </c>
      <c r="F15" s="45">
        <v>9</v>
      </c>
      <c r="G15" s="45">
        <v>9</v>
      </c>
      <c r="H15" s="45">
        <v>9</v>
      </c>
      <c r="I15" s="45">
        <v>9</v>
      </c>
      <c r="J15" s="45">
        <v>9</v>
      </c>
      <c r="K15" s="45">
        <v>9</v>
      </c>
      <c r="L15" s="45">
        <v>9</v>
      </c>
      <c r="M15" s="45">
        <v>9</v>
      </c>
      <c r="N15" s="45">
        <v>9</v>
      </c>
      <c r="O15" s="45">
        <v>9</v>
      </c>
      <c r="P15" s="45">
        <v>9</v>
      </c>
      <c r="Q15" s="45">
        <v>9</v>
      </c>
      <c r="R15" s="45">
        <v>9</v>
      </c>
      <c r="S15" s="45">
        <v>9</v>
      </c>
      <c r="T15" s="45">
        <v>9</v>
      </c>
      <c r="U15" s="45">
        <v>9</v>
      </c>
      <c r="V15" s="45">
        <v>9</v>
      </c>
      <c r="W15" s="45">
        <v>9</v>
      </c>
      <c r="X15" s="45">
        <v>9</v>
      </c>
      <c r="Y15" s="177">
        <v>9</v>
      </c>
      <c r="Z15" s="177">
        <v>9</v>
      </c>
      <c r="AA15" s="177">
        <v>9</v>
      </c>
      <c r="AB15" s="45">
        <v>9</v>
      </c>
      <c r="AC15" s="45">
        <v>9</v>
      </c>
      <c r="AD15" s="45">
        <v>9</v>
      </c>
      <c r="AE15" s="45">
        <v>9</v>
      </c>
      <c r="AF15" s="45">
        <v>9</v>
      </c>
      <c r="AG15" s="50">
        <v>42</v>
      </c>
      <c r="AH15" s="47">
        <f t="shared" si="4"/>
        <v>12</v>
      </c>
      <c r="AI15" s="48">
        <f t="shared" si="5"/>
        <v>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4"/>
        <v>8</v>
      </c>
      <c r="AI16" s="48">
        <f t="shared" si="5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ht="15.75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177">
        <v>12.5</v>
      </c>
      <c r="Z17" s="177">
        <v>12.5</v>
      </c>
      <c r="AA17" s="177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4"/>
        <v>12.5</v>
      </c>
      <c r="AI17" s="48">
        <f t="shared" si="5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ht="15.75" x14ac:dyDescent="0.25">
      <c r="A18" s="44" t="s">
        <v>24</v>
      </c>
      <c r="B18" s="45">
        <v>7.6</v>
      </c>
      <c r="C18" s="45">
        <v>7.6</v>
      </c>
      <c r="D18" s="45">
        <v>7.6</v>
      </c>
      <c r="E18" s="45">
        <v>7</v>
      </c>
      <c r="F18" s="45">
        <v>8.1999999999999993</v>
      </c>
      <c r="G18" s="45">
        <v>8.1999999999999993</v>
      </c>
      <c r="H18" s="45">
        <v>7.3</v>
      </c>
      <c r="I18" s="45">
        <v>7.3</v>
      </c>
      <c r="J18" s="45">
        <v>8</v>
      </c>
      <c r="K18" s="45">
        <v>8</v>
      </c>
      <c r="L18" s="45">
        <v>8</v>
      </c>
      <c r="M18" s="45">
        <v>8.3000000000000007</v>
      </c>
      <c r="N18" s="45">
        <v>8.3000000000000007</v>
      </c>
      <c r="O18" s="45">
        <v>8.3000000000000007</v>
      </c>
      <c r="P18" s="45">
        <v>7.3</v>
      </c>
      <c r="Q18" s="45">
        <v>7.3</v>
      </c>
      <c r="R18" s="45">
        <v>7.3</v>
      </c>
      <c r="S18" s="45">
        <v>7.3</v>
      </c>
      <c r="T18" s="45">
        <v>7.3</v>
      </c>
      <c r="U18" s="45">
        <v>7.3</v>
      </c>
      <c r="V18" s="45">
        <v>7.3</v>
      </c>
      <c r="W18" s="45">
        <v>7.3</v>
      </c>
      <c r="X18" s="45">
        <v>7.3</v>
      </c>
      <c r="Y18" s="177">
        <v>7.3</v>
      </c>
      <c r="Z18" s="177">
        <v>7.3</v>
      </c>
      <c r="AA18" s="177">
        <v>7.3</v>
      </c>
      <c r="AB18" s="45">
        <v>8.1999999999999993</v>
      </c>
      <c r="AC18" s="45">
        <v>8.1999999999999993</v>
      </c>
      <c r="AD18" s="45">
        <v>8.1999999999999993</v>
      </c>
      <c r="AE18" s="45">
        <v>8.1999999999999993</v>
      </c>
      <c r="AF18" s="45">
        <v>8.1999999999999993</v>
      </c>
      <c r="AG18" s="51">
        <v>30</v>
      </c>
      <c r="AH18" s="47">
        <f t="shared" si="4"/>
        <v>8.3000000000000007</v>
      </c>
      <c r="AI18" s="48">
        <f t="shared" si="5"/>
        <v>7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ht="15.75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178">
        <v>6.6</v>
      </c>
      <c r="Z19" s="178">
        <v>6.6</v>
      </c>
      <c r="AA19" s="178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4"/>
        <v>6.6</v>
      </c>
      <c r="AI19" s="48">
        <f t="shared" si="5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ht="15.75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179">
        <v>8</v>
      </c>
      <c r="Z20" s="179">
        <v>8</v>
      </c>
      <c r="AA20" s="179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4"/>
        <v>8</v>
      </c>
      <c r="AI20" s="48">
        <f t="shared" si="5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ht="15.75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177">
        <v>13</v>
      </c>
      <c r="Z21" s="177">
        <v>13</v>
      </c>
      <c r="AA21" s="177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4"/>
        <v>13</v>
      </c>
      <c r="AI21" s="48">
        <f t="shared" si="5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ht="15.75" x14ac:dyDescent="0.25">
      <c r="A22" s="44" t="s">
        <v>28</v>
      </c>
      <c r="B22" s="45">
        <v>9.8000000000000007</v>
      </c>
      <c r="C22" s="45">
        <v>9.8000000000000007</v>
      </c>
      <c r="D22" s="45">
        <v>9.8000000000000007</v>
      </c>
      <c r="E22" s="45">
        <v>11</v>
      </c>
      <c r="F22" s="45">
        <v>10.9</v>
      </c>
      <c r="G22" s="45">
        <v>10.9</v>
      </c>
      <c r="H22" s="45">
        <v>9.6999999999999993</v>
      </c>
      <c r="I22" s="45">
        <v>9.6999999999999993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9.6</v>
      </c>
      <c r="Q22" s="45">
        <v>9.6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177">
        <v>9.6</v>
      </c>
      <c r="Z22" s="177">
        <v>9.6</v>
      </c>
      <c r="AA22" s="177">
        <v>9.6</v>
      </c>
      <c r="AB22" s="45">
        <v>9.6</v>
      </c>
      <c r="AC22" s="45">
        <v>9.6</v>
      </c>
      <c r="AD22" s="45">
        <v>9.6</v>
      </c>
      <c r="AE22" s="45">
        <v>9.6</v>
      </c>
      <c r="AF22" s="45">
        <v>9.6</v>
      </c>
      <c r="AG22" s="50">
        <v>25</v>
      </c>
      <c r="AH22" s="47">
        <f t="shared" si="4"/>
        <v>11</v>
      </c>
      <c r="AI22" s="48">
        <f t="shared" si="5"/>
        <v>9.6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ht="15.75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177">
        <v>10</v>
      </c>
      <c r="Z23" s="177">
        <v>10</v>
      </c>
      <c r="AA23" s="177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0">
        <v>25</v>
      </c>
      <c r="AH23" s="47">
        <f t="shared" si="4"/>
        <v>10</v>
      </c>
      <c r="AI23" s="48">
        <f t="shared" si="5"/>
        <v>10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ht="15.75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177">
        <v>6</v>
      </c>
      <c r="Z24" s="177">
        <v>6</v>
      </c>
      <c r="AA24" s="177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4"/>
        <v>6</v>
      </c>
      <c r="AI24" s="48">
        <f t="shared" si="5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ht="15.75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177">
        <v>7.8</v>
      </c>
      <c r="Z25" s="177">
        <v>7.8</v>
      </c>
      <c r="AA25" s="177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4"/>
        <v>7.8</v>
      </c>
      <c r="AI25" s="48">
        <f t="shared" si="5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ht="15.75" x14ac:dyDescent="0.25">
      <c r="A26" s="44" t="s">
        <v>32</v>
      </c>
      <c r="B26" s="45">
        <v>6.7</v>
      </c>
      <c r="C26" s="45">
        <v>6.7</v>
      </c>
      <c r="D26" s="45">
        <v>6.7</v>
      </c>
      <c r="E26" s="45">
        <v>6.7</v>
      </c>
      <c r="F26" s="45">
        <v>6.7</v>
      </c>
      <c r="G26" s="45">
        <v>6.7</v>
      </c>
      <c r="H26" s="45">
        <v>6.7</v>
      </c>
      <c r="I26" s="45">
        <v>6.7</v>
      </c>
      <c r="J26" s="45">
        <v>6.7</v>
      </c>
      <c r="K26" s="45">
        <v>6.7</v>
      </c>
      <c r="L26" s="45">
        <v>6.7</v>
      </c>
      <c r="M26" s="45">
        <v>6.9</v>
      </c>
      <c r="N26" s="45">
        <v>6.9</v>
      </c>
      <c r="O26" s="45">
        <v>6.9</v>
      </c>
      <c r="P26" s="45">
        <v>6.6</v>
      </c>
      <c r="Q26" s="45">
        <v>6.6</v>
      </c>
      <c r="R26" s="45">
        <v>6.6</v>
      </c>
      <c r="S26" s="45">
        <v>6.6</v>
      </c>
      <c r="T26" s="45">
        <v>6.6</v>
      </c>
      <c r="U26" s="45">
        <v>6.6</v>
      </c>
      <c r="V26" s="45">
        <v>6.6</v>
      </c>
      <c r="W26" s="45">
        <v>6.6</v>
      </c>
      <c r="X26" s="45">
        <v>6.6</v>
      </c>
      <c r="Y26" s="178">
        <v>6.6</v>
      </c>
      <c r="Z26" s="178">
        <v>6.6</v>
      </c>
      <c r="AA26" s="178">
        <v>6.6</v>
      </c>
      <c r="AB26" s="45">
        <v>6.6</v>
      </c>
      <c r="AC26" s="45">
        <v>6.6</v>
      </c>
      <c r="AD26" s="45">
        <v>6.6</v>
      </c>
      <c r="AE26" s="45">
        <v>6.6</v>
      </c>
      <c r="AF26" s="45">
        <v>6.6</v>
      </c>
      <c r="AG26" s="50">
        <v>23.5</v>
      </c>
      <c r="AH26" s="47">
        <f t="shared" si="4"/>
        <v>6.9</v>
      </c>
      <c r="AI26" s="48">
        <f t="shared" si="5"/>
        <v>6.6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ht="15.75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178">
        <v>7</v>
      </c>
      <c r="Z27" s="178">
        <v>7</v>
      </c>
      <c r="AA27" s="178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4"/>
        <v>7</v>
      </c>
      <c r="AI27" s="48">
        <f t="shared" si="5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ht="15.75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178">
        <v>7</v>
      </c>
      <c r="Z28" s="178">
        <v>7</v>
      </c>
      <c r="AA28" s="178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4"/>
        <v>7</v>
      </c>
      <c r="AI28" s="48">
        <f t="shared" si="5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ht="15.75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178">
        <v>8</v>
      </c>
      <c r="Z29" s="178">
        <v>8</v>
      </c>
      <c r="AA29" s="178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4"/>
        <v>8</v>
      </c>
      <c r="AI29" s="48">
        <f t="shared" si="5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ht="15.75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10.9</v>
      </c>
      <c r="F30" s="45">
        <v>11.1</v>
      </c>
      <c r="G30" s="45">
        <v>11.1</v>
      </c>
      <c r="H30" s="45">
        <v>11.1</v>
      </c>
      <c r="I30" s="45">
        <v>11.1</v>
      </c>
      <c r="J30" s="45">
        <v>11.1</v>
      </c>
      <c r="K30" s="45">
        <v>11.1</v>
      </c>
      <c r="L30" s="45">
        <v>11.1</v>
      </c>
      <c r="M30" s="45">
        <v>11.1</v>
      </c>
      <c r="N30" s="45">
        <v>11.1</v>
      </c>
      <c r="O30" s="45">
        <v>11.1</v>
      </c>
      <c r="P30" s="45">
        <v>11.1</v>
      </c>
      <c r="Q30" s="45">
        <v>11.1</v>
      </c>
      <c r="R30" s="45">
        <v>11.1</v>
      </c>
      <c r="S30" s="45">
        <v>11.1</v>
      </c>
      <c r="T30" s="45">
        <v>11.1</v>
      </c>
      <c r="U30" s="45">
        <v>11.1</v>
      </c>
      <c r="V30" s="45">
        <v>11.1</v>
      </c>
      <c r="W30" s="45">
        <v>11.1</v>
      </c>
      <c r="X30" s="45">
        <v>11.1</v>
      </c>
      <c r="Y30" s="178">
        <v>11.1</v>
      </c>
      <c r="Z30" s="178">
        <v>11.1</v>
      </c>
      <c r="AA30" s="178">
        <v>11.1</v>
      </c>
      <c r="AB30" s="45">
        <v>11.1</v>
      </c>
      <c r="AC30" s="45">
        <v>11.1</v>
      </c>
      <c r="AD30" s="45">
        <v>11.1</v>
      </c>
      <c r="AE30" s="45">
        <v>11.1</v>
      </c>
      <c r="AF30" s="45">
        <v>11.1</v>
      </c>
      <c r="AG30" s="50">
        <v>22</v>
      </c>
      <c r="AH30" s="47">
        <f t="shared" si="4"/>
        <v>11.1</v>
      </c>
      <c r="AI30" s="48">
        <f t="shared" si="5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ht="15.75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179">
        <v>7</v>
      </c>
      <c r="Z31" s="179">
        <v>7</v>
      </c>
      <c r="AA31" s="179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4"/>
        <v>7</v>
      </c>
      <c r="AI31" s="48">
        <f t="shared" si="5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ht="15.75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179">
        <v>3.8</v>
      </c>
      <c r="Z32" s="179">
        <v>3.8</v>
      </c>
      <c r="AA32" s="179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4"/>
        <v>3.8</v>
      </c>
      <c r="AI32" s="48">
        <f t="shared" si="5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4"/>
        <v>7</v>
      </c>
      <c r="AI33" s="48">
        <f t="shared" si="5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5.75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178">
        <v>6.2</v>
      </c>
      <c r="Z34" s="178">
        <v>6.2</v>
      </c>
      <c r="AA34" s="178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4"/>
        <v>6.2</v>
      </c>
      <c r="AI34" s="48">
        <f t="shared" si="5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5.75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180">
        <v>0</v>
      </c>
      <c r="Z35" s="180">
        <v>0</v>
      </c>
      <c r="AA35" s="180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4"/>
        <v>0</v>
      </c>
      <c r="AI35" s="48">
        <f t="shared" si="5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5.75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178">
        <v>5</v>
      </c>
      <c r="Z36" s="178">
        <v>5</v>
      </c>
      <c r="AA36" s="178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4"/>
        <v>5</v>
      </c>
      <c r="AI36" s="48">
        <f t="shared" si="5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5.75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178">
        <v>7</v>
      </c>
      <c r="Z37" s="178">
        <v>7</v>
      </c>
      <c r="AA37" s="178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4"/>
        <v>7</v>
      </c>
      <c r="AI37" s="48">
        <f t="shared" si="5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5.75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178">
        <v>7</v>
      </c>
      <c r="Z38" s="178">
        <v>7</v>
      </c>
      <c r="AA38" s="178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4"/>
        <v>7</v>
      </c>
      <c r="AI38" s="48">
        <f t="shared" si="5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5.75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178">
        <v>7</v>
      </c>
      <c r="Z39" s="178">
        <v>7</v>
      </c>
      <c r="AA39" s="178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4"/>
        <v>7</v>
      </c>
      <c r="AI39" s="48">
        <f t="shared" si="5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178">
        <v>6</v>
      </c>
      <c r="Z40" s="178">
        <v>6</v>
      </c>
      <c r="AA40" s="178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4"/>
        <v>6</v>
      </c>
      <c r="AI40" s="48">
        <f t="shared" si="5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178">
        <v>5.2</v>
      </c>
      <c r="Z41" s="178">
        <v>5.2</v>
      </c>
      <c r="AA41" s="178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4"/>
        <v>5.2</v>
      </c>
      <c r="AI41" s="48">
        <f t="shared" si="5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178">
        <v>8.5</v>
      </c>
      <c r="Z42" s="178">
        <v>8.5</v>
      </c>
      <c r="AA42" s="178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4"/>
        <v>8.5</v>
      </c>
      <c r="AI42" s="48">
        <f t="shared" si="5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178">
        <v>4</v>
      </c>
      <c r="Z43" s="178">
        <v>4</v>
      </c>
      <c r="AA43" s="178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4"/>
        <v>4</v>
      </c>
      <c r="AI43" s="48">
        <f t="shared" si="5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4"/>
        <v>3.5</v>
      </c>
      <c r="AI44" s="48">
        <f t="shared" si="5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5.75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178">
        <v>0</v>
      </c>
      <c r="Z45" s="178">
        <v>0</v>
      </c>
      <c r="AA45" s="178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4"/>
        <v>0</v>
      </c>
      <c r="AI45" s="48">
        <f t="shared" si="5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ht="15.75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178">
        <v>100</v>
      </c>
      <c r="Z46" s="178">
        <v>100</v>
      </c>
      <c r="AA46" s="178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4"/>
        <v>100</v>
      </c>
      <c r="AI46" s="48">
        <f t="shared" si="5"/>
        <v>100</v>
      </c>
      <c r="AK46" s="49"/>
    </row>
    <row r="47" spans="1:88" ht="16.5" thickBot="1" x14ac:dyDescent="0.3">
      <c r="A47" s="57" t="s">
        <v>51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181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4"/>
        <v>0</v>
      </c>
      <c r="AI47" s="48">
        <f t="shared" si="5"/>
        <v>0</v>
      </c>
      <c r="AK47" s="49"/>
    </row>
    <row r="48" spans="1:88" ht="15.75" thickBot="1" x14ac:dyDescent="0.3">
      <c r="A48" s="59" t="s">
        <v>52</v>
      </c>
      <c r="B48" s="60">
        <f t="shared" ref="B48:AG48" si="6">SUM(B12:B46)</f>
        <v>375.5</v>
      </c>
      <c r="C48" s="60">
        <f t="shared" si="6"/>
        <v>375.5</v>
      </c>
      <c r="D48" s="60">
        <f t="shared" si="6"/>
        <v>375.5</v>
      </c>
      <c r="E48" s="60">
        <f t="shared" si="6"/>
        <v>383</v>
      </c>
      <c r="F48" s="60">
        <f t="shared" si="6"/>
        <v>386.5</v>
      </c>
      <c r="G48" s="60">
        <f t="shared" si="6"/>
        <v>386.5</v>
      </c>
      <c r="H48" s="60">
        <f t="shared" si="6"/>
        <v>382.7</v>
      </c>
      <c r="I48" s="60">
        <f t="shared" si="6"/>
        <v>382.7</v>
      </c>
      <c r="J48" s="60">
        <f t="shared" si="6"/>
        <v>380.09999999999997</v>
      </c>
      <c r="K48" s="60">
        <f t="shared" si="6"/>
        <v>380.09999999999997</v>
      </c>
      <c r="L48" s="60">
        <f t="shared" si="6"/>
        <v>380.09999999999997</v>
      </c>
      <c r="M48" s="60">
        <f t="shared" ref="M48" si="7">SUM(M12:M46)</f>
        <v>378.09999999999997</v>
      </c>
      <c r="N48" s="60">
        <f t="shared" si="6"/>
        <v>378.09999999999997</v>
      </c>
      <c r="O48" s="60">
        <f t="shared" si="6"/>
        <v>378.09999999999997</v>
      </c>
      <c r="P48" s="60">
        <f t="shared" ref="P48" si="8">SUM(P12:P46)</f>
        <v>375.8</v>
      </c>
      <c r="Q48" s="60">
        <f t="shared" si="6"/>
        <v>375.8</v>
      </c>
      <c r="R48" s="60">
        <f t="shared" si="6"/>
        <v>375.8</v>
      </c>
      <c r="S48" s="60">
        <f t="shared" si="6"/>
        <v>375.8</v>
      </c>
      <c r="T48" s="60">
        <f t="shared" si="6"/>
        <v>375.8</v>
      </c>
      <c r="U48" s="60">
        <f t="shared" si="6"/>
        <v>378.3</v>
      </c>
      <c r="V48" s="60">
        <f t="shared" si="6"/>
        <v>378.3</v>
      </c>
      <c r="W48" s="60">
        <f t="shared" si="6"/>
        <v>378.3</v>
      </c>
      <c r="X48" s="60">
        <f t="shared" si="6"/>
        <v>378.3</v>
      </c>
      <c r="Y48" s="60">
        <f t="shared" si="6"/>
        <v>378.3</v>
      </c>
      <c r="Z48" s="60">
        <f t="shared" si="6"/>
        <v>378.3</v>
      </c>
      <c r="AA48" s="60">
        <f t="shared" si="6"/>
        <v>378.3</v>
      </c>
      <c r="AB48" s="60">
        <f t="shared" si="6"/>
        <v>375.8</v>
      </c>
      <c r="AC48" s="60">
        <f t="shared" si="6"/>
        <v>375.8</v>
      </c>
      <c r="AD48" s="60">
        <f t="shared" si="6"/>
        <v>375.8</v>
      </c>
      <c r="AE48" s="60">
        <f t="shared" si="6"/>
        <v>375.8</v>
      </c>
      <c r="AF48" s="60">
        <f t="shared" si="6"/>
        <v>375.8</v>
      </c>
      <c r="AG48" s="61">
        <f t="shared" si="6"/>
        <v>875.68</v>
      </c>
      <c r="AH48" s="47">
        <f t="shared" si="4"/>
        <v>386.5</v>
      </c>
      <c r="AI48" s="48">
        <f t="shared" si="5"/>
        <v>375.5</v>
      </c>
      <c r="AK48" s="49"/>
    </row>
    <row r="49" spans="1:41" ht="15.75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15</v>
      </c>
      <c r="I49" s="45">
        <v>70</v>
      </c>
      <c r="J49" s="45">
        <v>115</v>
      </c>
      <c r="K49" s="45">
        <v>80</v>
      </c>
      <c r="L49" s="45">
        <v>235</v>
      </c>
      <c r="M49" s="45">
        <v>260</v>
      </c>
      <c r="N49" s="63">
        <v>100</v>
      </c>
      <c r="O49" s="45">
        <v>70</v>
      </c>
      <c r="P49" s="45">
        <v>50</v>
      </c>
      <c r="Q49" s="45">
        <v>90</v>
      </c>
      <c r="R49" s="45">
        <v>110</v>
      </c>
      <c r="S49" s="45">
        <v>80</v>
      </c>
      <c r="T49" s="45">
        <v>122</v>
      </c>
      <c r="U49" s="45">
        <v>60</v>
      </c>
      <c r="V49" s="45">
        <v>28</v>
      </c>
      <c r="W49" s="45">
        <v>39.799999999999997</v>
      </c>
      <c r="X49" s="45">
        <v>90</v>
      </c>
      <c r="Y49" s="182">
        <v>150</v>
      </c>
      <c r="Z49" s="45">
        <v>155</v>
      </c>
      <c r="AA49" s="45">
        <v>121</v>
      </c>
      <c r="AB49" s="45">
        <v>55</v>
      </c>
      <c r="AC49" s="45">
        <v>95</v>
      </c>
      <c r="AD49" s="45">
        <v>60</v>
      </c>
      <c r="AE49" s="45">
        <v>50</v>
      </c>
      <c r="AF49" s="45">
        <v>15</v>
      </c>
      <c r="AG49" s="51">
        <v>456</v>
      </c>
      <c r="AH49" s="47">
        <f t="shared" si="4"/>
        <v>260</v>
      </c>
      <c r="AI49" s="48">
        <f t="shared" si="5"/>
        <v>0</v>
      </c>
      <c r="AK49" s="49"/>
    </row>
    <row r="50" spans="1:41" ht="15.75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25</v>
      </c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177">
        <v>28</v>
      </c>
      <c r="Z50" s="177">
        <v>28</v>
      </c>
      <c r="AA50" s="177">
        <v>28</v>
      </c>
      <c r="AB50" s="65">
        <v>28</v>
      </c>
      <c r="AC50" s="65">
        <v>28</v>
      </c>
      <c r="AD50" s="65">
        <v>28</v>
      </c>
      <c r="AE50" s="65">
        <v>28</v>
      </c>
      <c r="AF50" s="65">
        <v>28</v>
      </c>
      <c r="AG50" s="54">
        <v>60</v>
      </c>
      <c r="AH50" s="47">
        <f t="shared" si="4"/>
        <v>28</v>
      </c>
      <c r="AI50" s="48">
        <f t="shared" si="5"/>
        <v>25</v>
      </c>
      <c r="AK50" s="49"/>
    </row>
    <row r="51" spans="1:41" ht="16.5" thickBot="1" x14ac:dyDescent="0.3">
      <c r="A51" s="66" t="s">
        <v>55</v>
      </c>
      <c r="B51" s="67">
        <v>14.7</v>
      </c>
      <c r="C51" s="67">
        <v>14.7</v>
      </c>
      <c r="D51" s="67">
        <v>14.7</v>
      </c>
      <c r="E51" s="67">
        <v>10.7</v>
      </c>
      <c r="F51" s="67">
        <v>10.7</v>
      </c>
      <c r="G51" s="67">
        <v>10.7</v>
      </c>
      <c r="H51" s="67">
        <v>10.7</v>
      </c>
      <c r="I51" s="67">
        <v>10.7</v>
      </c>
      <c r="J51" s="67">
        <v>11.7</v>
      </c>
      <c r="K51" s="67">
        <v>11.6</v>
      </c>
      <c r="L51" s="67">
        <v>11.6</v>
      </c>
      <c r="M51" s="67">
        <v>11.7</v>
      </c>
      <c r="N51" s="67">
        <v>11.7</v>
      </c>
      <c r="O51" s="67">
        <v>11.7</v>
      </c>
      <c r="P51" s="67">
        <v>11.7</v>
      </c>
      <c r="Q51" s="67">
        <v>11.7</v>
      </c>
      <c r="R51" s="67">
        <v>11.7</v>
      </c>
      <c r="S51" s="67">
        <v>11.7</v>
      </c>
      <c r="T51" s="67">
        <v>11.7</v>
      </c>
      <c r="U51" s="67">
        <v>11.7</v>
      </c>
      <c r="V51" s="67">
        <v>11.7</v>
      </c>
      <c r="W51" s="67">
        <v>11.7</v>
      </c>
      <c r="X51" s="67">
        <v>11.7</v>
      </c>
      <c r="Y51" s="183">
        <v>9.6999999999999993</v>
      </c>
      <c r="Z51" s="183">
        <v>9.6999999999999993</v>
      </c>
      <c r="AA51" s="183">
        <v>9.6999999999999993</v>
      </c>
      <c r="AB51" s="67">
        <v>16.100000000000001</v>
      </c>
      <c r="AC51" s="67">
        <v>16.100000000000001</v>
      </c>
      <c r="AD51" s="67">
        <v>16.100000000000001</v>
      </c>
      <c r="AE51" s="67">
        <v>16.100000000000001</v>
      </c>
      <c r="AF51" s="67">
        <v>16.100000000000001</v>
      </c>
      <c r="AG51" s="68">
        <v>22.1</v>
      </c>
      <c r="AH51" s="47">
        <f t="shared" si="4"/>
        <v>16.100000000000001</v>
      </c>
      <c r="AI51" s="48">
        <f t="shared" si="5"/>
        <v>9.6999999999999993</v>
      </c>
      <c r="AK51" s="49"/>
    </row>
    <row r="52" spans="1:41" ht="15.75" thickBot="1" x14ac:dyDescent="0.3">
      <c r="A52" s="69" t="s">
        <v>56</v>
      </c>
      <c r="B52" s="60">
        <f t="shared" ref="B52:AG52" si="9">SUM(B49:B51)</f>
        <v>39.700000000000003</v>
      </c>
      <c r="C52" s="60">
        <f t="shared" si="9"/>
        <v>39.700000000000003</v>
      </c>
      <c r="D52" s="60">
        <f t="shared" si="9"/>
        <v>39.700000000000003</v>
      </c>
      <c r="E52" s="60">
        <f t="shared" si="9"/>
        <v>35.700000000000003</v>
      </c>
      <c r="F52" s="60">
        <f t="shared" si="9"/>
        <v>35.700000000000003</v>
      </c>
      <c r="G52" s="60">
        <f t="shared" si="9"/>
        <v>35.700000000000003</v>
      </c>
      <c r="H52" s="60">
        <f t="shared" si="9"/>
        <v>50.7</v>
      </c>
      <c r="I52" s="60">
        <f t="shared" si="9"/>
        <v>105.7</v>
      </c>
      <c r="J52" s="60">
        <f t="shared" si="9"/>
        <v>151.69999999999999</v>
      </c>
      <c r="K52" s="60">
        <f t="shared" si="9"/>
        <v>116.6</v>
      </c>
      <c r="L52" s="60">
        <f t="shared" si="9"/>
        <v>271.60000000000002</v>
      </c>
      <c r="M52" s="60">
        <f t="shared" ref="M52" si="10">SUM(M49:M51)</f>
        <v>296.7</v>
      </c>
      <c r="N52" s="60">
        <f t="shared" si="9"/>
        <v>136.69999999999999</v>
      </c>
      <c r="O52" s="60">
        <f t="shared" si="9"/>
        <v>106.7</v>
      </c>
      <c r="P52" s="60">
        <f t="shared" si="9"/>
        <v>86.7</v>
      </c>
      <c r="Q52" s="60">
        <f t="shared" si="9"/>
        <v>126.7</v>
      </c>
      <c r="R52" s="60">
        <f t="shared" si="9"/>
        <v>146.69999999999999</v>
      </c>
      <c r="S52" s="60">
        <f t="shared" si="9"/>
        <v>116.7</v>
      </c>
      <c r="T52" s="60">
        <f t="shared" si="9"/>
        <v>158.69999999999999</v>
      </c>
      <c r="U52" s="60">
        <f t="shared" si="9"/>
        <v>96.7</v>
      </c>
      <c r="V52" s="60">
        <f t="shared" si="9"/>
        <v>64.7</v>
      </c>
      <c r="W52" s="60">
        <f t="shared" si="9"/>
        <v>76.5</v>
      </c>
      <c r="X52" s="60">
        <f t="shared" si="9"/>
        <v>126.7</v>
      </c>
      <c r="Y52" s="60">
        <f t="shared" si="9"/>
        <v>187.7</v>
      </c>
      <c r="Z52" s="60">
        <f t="shared" si="9"/>
        <v>192.7</v>
      </c>
      <c r="AA52" s="60">
        <f t="shared" si="9"/>
        <v>158.69999999999999</v>
      </c>
      <c r="AB52" s="60">
        <f t="shared" si="9"/>
        <v>99.1</v>
      </c>
      <c r="AC52" s="60">
        <f t="shared" si="9"/>
        <v>139.1</v>
      </c>
      <c r="AD52" s="60">
        <f t="shared" si="9"/>
        <v>104.1</v>
      </c>
      <c r="AE52" s="60">
        <f t="shared" si="9"/>
        <v>94.1</v>
      </c>
      <c r="AF52" s="60">
        <f t="shared" si="9"/>
        <v>59.1</v>
      </c>
      <c r="AG52" s="61">
        <f t="shared" si="9"/>
        <v>538.1</v>
      </c>
      <c r="AH52" s="47">
        <f t="shared" si="4"/>
        <v>296.7</v>
      </c>
      <c r="AI52" s="48">
        <f t="shared" si="5"/>
        <v>35.700000000000003</v>
      </c>
      <c r="AK52" s="49"/>
    </row>
    <row r="53" spans="1:41" ht="15.75" x14ac:dyDescent="0.25">
      <c r="A53" s="44" t="s">
        <v>57</v>
      </c>
      <c r="B53" s="45">
        <v>30.6</v>
      </c>
      <c r="C53" s="45">
        <v>30.6</v>
      </c>
      <c r="D53" s="45">
        <v>0</v>
      </c>
      <c r="E53" s="45">
        <v>0</v>
      </c>
      <c r="F53" s="45">
        <v>0</v>
      </c>
      <c r="G53" s="45">
        <v>0</v>
      </c>
      <c r="H53" s="45">
        <v>28.4</v>
      </c>
      <c r="I53" s="45">
        <v>28.4</v>
      </c>
      <c r="J53" s="45">
        <v>56.7</v>
      </c>
      <c r="K53" s="45">
        <v>61.3</v>
      </c>
      <c r="L53" s="45">
        <v>83.2</v>
      </c>
      <c r="M53" s="45">
        <v>107.8</v>
      </c>
      <c r="N53" s="45">
        <v>71.7</v>
      </c>
      <c r="O53" s="45">
        <v>71.400000000000006</v>
      </c>
      <c r="P53" s="45">
        <v>81.7</v>
      </c>
      <c r="Q53" s="45">
        <v>70.599999999999994</v>
      </c>
      <c r="R53" s="45">
        <v>71.2</v>
      </c>
      <c r="S53" s="45">
        <v>81</v>
      </c>
      <c r="T53" s="45">
        <v>92.6</v>
      </c>
      <c r="U53" s="45">
        <v>92.6</v>
      </c>
      <c r="V53" s="45">
        <v>81</v>
      </c>
      <c r="W53" s="45">
        <v>81</v>
      </c>
      <c r="X53" s="45">
        <v>90</v>
      </c>
      <c r="Y53" s="184">
        <v>140</v>
      </c>
      <c r="Z53" s="184">
        <v>138.80000000000001</v>
      </c>
      <c r="AA53" s="184">
        <v>134</v>
      </c>
      <c r="AB53" s="45">
        <v>91.5</v>
      </c>
      <c r="AC53" s="45">
        <v>66.5</v>
      </c>
      <c r="AD53" s="45">
        <v>66.599999999999994</v>
      </c>
      <c r="AE53" s="45">
        <v>31</v>
      </c>
      <c r="AF53" s="45">
        <v>0</v>
      </c>
      <c r="AG53" s="51">
        <v>144</v>
      </c>
      <c r="AH53" s="47">
        <f t="shared" si="4"/>
        <v>140</v>
      </c>
      <c r="AI53" s="48">
        <f t="shared" si="5"/>
        <v>0</v>
      </c>
      <c r="AK53" s="49"/>
    </row>
    <row r="54" spans="1:41" ht="15.75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33.299999999999997</v>
      </c>
      <c r="H54" s="65">
        <v>24</v>
      </c>
      <c r="I54" s="65">
        <v>48</v>
      </c>
      <c r="J54" s="65">
        <v>65</v>
      </c>
      <c r="K54" s="65">
        <v>70.3</v>
      </c>
      <c r="L54" s="65">
        <v>69.7</v>
      </c>
      <c r="M54" s="65">
        <v>69.599999999999994</v>
      </c>
      <c r="N54" s="65">
        <v>59.6</v>
      </c>
      <c r="O54" s="65">
        <v>44.2</v>
      </c>
      <c r="P54" s="65">
        <v>45.9</v>
      </c>
      <c r="Q54" s="65">
        <v>48.6</v>
      </c>
      <c r="R54" s="45">
        <v>44.9</v>
      </c>
      <c r="S54" s="45">
        <v>55</v>
      </c>
      <c r="T54" s="45">
        <v>35</v>
      </c>
      <c r="U54" s="45">
        <v>22.8</v>
      </c>
      <c r="V54" s="45">
        <v>0</v>
      </c>
      <c r="W54" s="45">
        <v>0</v>
      </c>
      <c r="X54" s="45">
        <v>35</v>
      </c>
      <c r="Y54" s="184">
        <v>50</v>
      </c>
      <c r="Z54" s="184">
        <v>50</v>
      </c>
      <c r="AA54" s="184">
        <v>59</v>
      </c>
      <c r="AB54" s="65">
        <v>48</v>
      </c>
      <c r="AC54" s="65">
        <v>34.5</v>
      </c>
      <c r="AD54" s="65">
        <v>34.700000000000003</v>
      </c>
      <c r="AE54" s="65">
        <v>0</v>
      </c>
      <c r="AF54" s="65">
        <v>0</v>
      </c>
      <c r="AG54" s="54">
        <v>70</v>
      </c>
      <c r="AH54" s="47">
        <f t="shared" si="4"/>
        <v>70.3</v>
      </c>
      <c r="AI54" s="48">
        <f t="shared" si="5"/>
        <v>0</v>
      </c>
      <c r="AK54" s="49"/>
    </row>
    <row r="55" spans="1:41" ht="15.75" x14ac:dyDescent="0.25">
      <c r="A55" s="53" t="s">
        <v>59</v>
      </c>
      <c r="B55" s="65">
        <v>16.399999999999999</v>
      </c>
      <c r="C55" s="65">
        <v>16.399999999999999</v>
      </c>
      <c r="D55" s="65">
        <v>16.399999999999999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15.1</v>
      </c>
      <c r="K55" s="65">
        <v>34.6</v>
      </c>
      <c r="L55" s="65">
        <v>34.700000000000003</v>
      </c>
      <c r="M55" s="65">
        <v>34.5</v>
      </c>
      <c r="N55" s="65">
        <v>34.299999999999997</v>
      </c>
      <c r="O55" s="65">
        <v>34.200000000000003</v>
      </c>
      <c r="P55" s="65">
        <v>45.2</v>
      </c>
      <c r="Q55" s="65">
        <v>45.6</v>
      </c>
      <c r="R55" s="45">
        <v>45.8</v>
      </c>
      <c r="S55" s="45">
        <v>45.8</v>
      </c>
      <c r="T55" s="45">
        <v>45.2</v>
      </c>
      <c r="U55" s="45">
        <v>51</v>
      </c>
      <c r="V55" s="45">
        <v>51</v>
      </c>
      <c r="W55" s="45">
        <v>51</v>
      </c>
      <c r="X55" s="45">
        <v>61</v>
      </c>
      <c r="Y55" s="184">
        <v>50</v>
      </c>
      <c r="Z55" s="184">
        <v>50</v>
      </c>
      <c r="AA55" s="184">
        <v>69</v>
      </c>
      <c r="AB55" s="65">
        <v>50.9</v>
      </c>
      <c r="AC55" s="65">
        <v>50.2</v>
      </c>
      <c r="AD55" s="65">
        <v>50.5</v>
      </c>
      <c r="AE55" s="65">
        <v>18</v>
      </c>
      <c r="AF55" s="65">
        <v>22.8</v>
      </c>
      <c r="AG55" s="54">
        <v>69</v>
      </c>
      <c r="AH55" s="47">
        <f t="shared" si="4"/>
        <v>69</v>
      </c>
      <c r="AI55" s="48">
        <f t="shared" si="5"/>
        <v>0</v>
      </c>
      <c r="AK55" s="49"/>
    </row>
    <row r="56" spans="1:41" ht="15.75" x14ac:dyDescent="0.25">
      <c r="A56" s="53" t="s">
        <v>60</v>
      </c>
      <c r="B56" s="56">
        <v>46.4</v>
      </c>
      <c r="C56" s="56">
        <v>46.4</v>
      </c>
      <c r="D56" s="56">
        <v>46.4</v>
      </c>
      <c r="E56" s="56">
        <v>42.3</v>
      </c>
      <c r="F56" s="56">
        <v>42.1</v>
      </c>
      <c r="G56" s="56">
        <v>42.1</v>
      </c>
      <c r="H56" s="56">
        <v>42.1</v>
      </c>
      <c r="I56" s="56">
        <v>42.1</v>
      </c>
      <c r="J56" s="56">
        <v>42.1</v>
      </c>
      <c r="K56" s="56">
        <v>42.1</v>
      </c>
      <c r="L56" s="56">
        <v>42.1</v>
      </c>
      <c r="M56" s="56">
        <v>42.1</v>
      </c>
      <c r="N56" s="65">
        <v>42.1</v>
      </c>
      <c r="O56" s="65">
        <v>42.1</v>
      </c>
      <c r="P56" s="65">
        <v>42.1</v>
      </c>
      <c r="Q56" s="65">
        <v>42.1</v>
      </c>
      <c r="R56" s="45">
        <v>39.799999999999997</v>
      </c>
      <c r="S56" s="45">
        <v>39.799999999999997</v>
      </c>
      <c r="T56" s="45">
        <v>39.799999999999997</v>
      </c>
      <c r="U56" s="45">
        <v>39.799999999999997</v>
      </c>
      <c r="V56" s="45">
        <v>39.799999999999997</v>
      </c>
      <c r="W56" s="45">
        <v>39.799999999999997</v>
      </c>
      <c r="X56" s="45">
        <v>39.799999999999997</v>
      </c>
      <c r="Y56" s="184">
        <v>39.799999999999997</v>
      </c>
      <c r="Z56" s="184">
        <v>39.799999999999997</v>
      </c>
      <c r="AA56" s="184">
        <v>39.799999999999997</v>
      </c>
      <c r="AB56" s="65">
        <v>39.799999999999997</v>
      </c>
      <c r="AC56" s="65">
        <v>39.799999999999997</v>
      </c>
      <c r="AD56" s="65">
        <v>39.799999999999997</v>
      </c>
      <c r="AE56" s="65">
        <v>39.799999999999997</v>
      </c>
      <c r="AF56" s="65">
        <v>39.799999999999997</v>
      </c>
      <c r="AG56" s="54">
        <v>60</v>
      </c>
      <c r="AH56" s="47">
        <f t="shared" si="4"/>
        <v>46.4</v>
      </c>
      <c r="AI56" s="48">
        <f t="shared" si="5"/>
        <v>39.799999999999997</v>
      </c>
      <c r="AK56" s="49"/>
    </row>
    <row r="57" spans="1:41" ht="15.75" x14ac:dyDescent="0.25">
      <c r="A57" s="53" t="s">
        <v>61</v>
      </c>
      <c r="B57" s="56">
        <v>0</v>
      </c>
      <c r="C57" s="56">
        <v>0</v>
      </c>
      <c r="D57" s="56">
        <v>15</v>
      </c>
      <c r="E57" s="56">
        <v>13</v>
      </c>
      <c r="F57" s="56">
        <v>0</v>
      </c>
      <c r="G57" s="56">
        <v>0</v>
      </c>
      <c r="H57" s="56">
        <v>13</v>
      </c>
      <c r="I57" s="56">
        <v>13</v>
      </c>
      <c r="J57" s="56">
        <v>13</v>
      </c>
      <c r="K57" s="56">
        <v>13</v>
      </c>
      <c r="L57" s="56">
        <v>13</v>
      </c>
      <c r="M57" s="56">
        <v>13</v>
      </c>
      <c r="N57" s="65">
        <v>13.6</v>
      </c>
      <c r="O57" s="65">
        <v>13.6</v>
      </c>
      <c r="P57" s="65">
        <v>13</v>
      </c>
      <c r="Q57" s="65">
        <v>13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185">
        <v>15</v>
      </c>
      <c r="Z57" s="185">
        <v>25</v>
      </c>
      <c r="AA57" s="185">
        <v>25</v>
      </c>
      <c r="AB57" s="65">
        <v>25</v>
      </c>
      <c r="AC57" s="65">
        <v>15</v>
      </c>
      <c r="AD57" s="65">
        <v>15</v>
      </c>
      <c r="AE57" s="65">
        <v>10</v>
      </c>
      <c r="AF57" s="65">
        <v>0</v>
      </c>
      <c r="AG57" s="54">
        <v>30</v>
      </c>
      <c r="AH57" s="47">
        <f t="shared" si="4"/>
        <v>25</v>
      </c>
      <c r="AI57" s="48">
        <f t="shared" si="5"/>
        <v>0</v>
      </c>
      <c r="AK57" s="49"/>
    </row>
    <row r="58" spans="1:41" ht="15.75" x14ac:dyDescent="0.25">
      <c r="A58" s="53" t="s">
        <v>62</v>
      </c>
      <c r="B58" s="45">
        <v>0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2</v>
      </c>
      <c r="N58" s="65">
        <v>4</v>
      </c>
      <c r="O58" s="65">
        <v>4</v>
      </c>
      <c r="P58" s="65">
        <v>6</v>
      </c>
      <c r="Q58" s="65">
        <v>8</v>
      </c>
      <c r="R58" s="45">
        <v>10</v>
      </c>
      <c r="S58" s="45">
        <v>10</v>
      </c>
      <c r="T58" s="45">
        <v>10</v>
      </c>
      <c r="U58" s="45">
        <v>10</v>
      </c>
      <c r="V58" s="45">
        <v>10</v>
      </c>
      <c r="W58" s="45">
        <v>0</v>
      </c>
      <c r="X58" s="45">
        <v>0</v>
      </c>
      <c r="Y58" s="185">
        <v>0</v>
      </c>
      <c r="Z58" s="185">
        <v>0</v>
      </c>
      <c r="AA58" s="18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4"/>
        <v>10</v>
      </c>
      <c r="AI58" s="48">
        <f t="shared" si="5"/>
        <v>0</v>
      </c>
      <c r="AK58" s="49"/>
    </row>
    <row r="59" spans="1:41" ht="15.75" x14ac:dyDescent="0.25">
      <c r="A59" s="53" t="s">
        <v>63</v>
      </c>
      <c r="B59" s="65">
        <v>14</v>
      </c>
      <c r="C59" s="65">
        <v>14</v>
      </c>
      <c r="D59" s="65">
        <v>14</v>
      </c>
      <c r="E59" s="65">
        <v>14</v>
      </c>
      <c r="F59" s="65">
        <v>14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14</v>
      </c>
      <c r="Q59" s="65">
        <v>14</v>
      </c>
      <c r="R59" s="65">
        <v>14</v>
      </c>
      <c r="S59" s="65">
        <v>14</v>
      </c>
      <c r="T59" s="65">
        <v>14</v>
      </c>
      <c r="U59" s="65">
        <v>14</v>
      </c>
      <c r="V59" s="65">
        <v>14</v>
      </c>
      <c r="W59" s="65">
        <v>14</v>
      </c>
      <c r="X59" s="65">
        <v>14</v>
      </c>
      <c r="Y59" s="185">
        <v>14</v>
      </c>
      <c r="Z59" s="185">
        <v>14</v>
      </c>
      <c r="AA59" s="185">
        <v>14</v>
      </c>
      <c r="AB59" s="65">
        <v>14</v>
      </c>
      <c r="AC59" s="65">
        <v>14</v>
      </c>
      <c r="AD59" s="65">
        <v>14</v>
      </c>
      <c r="AE59" s="65">
        <v>14</v>
      </c>
      <c r="AF59" s="65">
        <v>14</v>
      </c>
      <c r="AG59" s="54">
        <v>24</v>
      </c>
      <c r="AH59" s="47">
        <f t="shared" si="4"/>
        <v>14</v>
      </c>
      <c r="AI59" s="48">
        <f t="shared" si="5"/>
        <v>14</v>
      </c>
      <c r="AK59" s="49"/>
    </row>
    <row r="60" spans="1:41" ht="15.75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186">
        <v>3.2</v>
      </c>
      <c r="Z60" s="186">
        <v>3.2</v>
      </c>
      <c r="AA60" s="186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4"/>
        <v>3.2</v>
      </c>
      <c r="AI60" s="48">
        <f t="shared" si="5"/>
        <v>3.2</v>
      </c>
      <c r="AK60" s="49"/>
      <c r="AL60" s="70"/>
      <c r="AO60" s="70"/>
    </row>
    <row r="61" spans="1:41" s="70" customFormat="1" ht="15.75" x14ac:dyDescent="0.25">
      <c r="A61" s="53" t="s">
        <v>65</v>
      </c>
      <c r="B61" s="65">
        <v>9.6999999999999993</v>
      </c>
      <c r="C61" s="65">
        <v>9.6999999999999993</v>
      </c>
      <c r="D61" s="65">
        <v>9.6999999999999993</v>
      </c>
      <c r="E61" s="65">
        <v>9.6999999999999993</v>
      </c>
      <c r="F61" s="65">
        <v>9.6999999999999993</v>
      </c>
      <c r="G61" s="65">
        <v>9.6999999999999993</v>
      </c>
      <c r="H61" s="65">
        <v>9.6999999999999993</v>
      </c>
      <c r="I61" s="65">
        <v>9.6999999999999993</v>
      </c>
      <c r="J61" s="65">
        <v>9.6999999999999993</v>
      </c>
      <c r="K61" s="65">
        <v>9.6999999999999993</v>
      </c>
      <c r="L61" s="65">
        <v>9.6999999999999993</v>
      </c>
      <c r="M61" s="65">
        <v>9.6999999999999993</v>
      </c>
      <c r="N61" s="65">
        <v>9.6999999999999993</v>
      </c>
      <c r="O61" s="65">
        <v>9.6999999999999993</v>
      </c>
      <c r="P61" s="65">
        <v>9.6999999999999993</v>
      </c>
      <c r="Q61" s="65">
        <v>9.6999999999999993</v>
      </c>
      <c r="R61" s="65">
        <v>9.6999999999999993</v>
      </c>
      <c r="S61" s="65">
        <v>9.6999999999999993</v>
      </c>
      <c r="T61" s="65">
        <v>9.6999999999999993</v>
      </c>
      <c r="U61" s="65">
        <v>9.6999999999999993</v>
      </c>
      <c r="V61" s="65">
        <v>9.6999999999999993</v>
      </c>
      <c r="W61" s="65">
        <v>9.6999999999999993</v>
      </c>
      <c r="X61" s="65">
        <v>9.6999999999999993</v>
      </c>
      <c r="Y61" s="186">
        <v>9.6999999999999993</v>
      </c>
      <c r="Z61" s="186">
        <v>9.6999999999999993</v>
      </c>
      <c r="AA61" s="186">
        <v>9.6999999999999993</v>
      </c>
      <c r="AB61" s="65">
        <v>9.6999999999999993</v>
      </c>
      <c r="AC61" s="65">
        <v>9.6999999999999993</v>
      </c>
      <c r="AD61" s="65">
        <v>9.6999999999999993</v>
      </c>
      <c r="AE61" s="65">
        <v>9.6999999999999993</v>
      </c>
      <c r="AF61" s="65">
        <v>9.6999999999999993</v>
      </c>
      <c r="AG61" s="54">
        <v>14.1</v>
      </c>
      <c r="AH61" s="47">
        <f t="shared" si="4"/>
        <v>9.6999999999999993</v>
      </c>
      <c r="AI61" s="48">
        <f t="shared" si="5"/>
        <v>9.6999999999999993</v>
      </c>
      <c r="AJ61" s="1"/>
      <c r="AK61" s="49"/>
      <c r="AL61" s="1"/>
      <c r="AM61" s="1"/>
      <c r="AN61" s="1"/>
      <c r="AO61" s="1"/>
    </row>
    <row r="62" spans="1:41" ht="15.75" x14ac:dyDescent="0.25">
      <c r="A62" s="71" t="s">
        <v>66</v>
      </c>
      <c r="B62" s="65">
        <v>3</v>
      </c>
      <c r="C62" s="65">
        <v>3</v>
      </c>
      <c r="D62" s="65">
        <v>3</v>
      </c>
      <c r="E62" s="65">
        <v>3</v>
      </c>
      <c r="F62" s="65">
        <v>3</v>
      </c>
      <c r="G62" s="65">
        <v>3</v>
      </c>
      <c r="H62" s="65">
        <v>3</v>
      </c>
      <c r="I62" s="65">
        <v>3</v>
      </c>
      <c r="J62" s="65">
        <v>3</v>
      </c>
      <c r="K62" s="65">
        <v>3</v>
      </c>
      <c r="L62" s="65">
        <v>3</v>
      </c>
      <c r="M62" s="65">
        <v>3</v>
      </c>
      <c r="N62" s="65">
        <v>3</v>
      </c>
      <c r="O62" s="65">
        <v>3</v>
      </c>
      <c r="P62" s="65">
        <v>3</v>
      </c>
      <c r="Q62" s="65">
        <v>3</v>
      </c>
      <c r="R62" s="65">
        <v>4.9000000000000004</v>
      </c>
      <c r="S62" s="65">
        <v>4.9000000000000004</v>
      </c>
      <c r="T62" s="65">
        <v>4.9000000000000004</v>
      </c>
      <c r="U62" s="65">
        <v>4.9000000000000004</v>
      </c>
      <c r="V62" s="65">
        <v>4.9000000000000004</v>
      </c>
      <c r="W62" s="65">
        <v>4.9000000000000004</v>
      </c>
      <c r="X62" s="65">
        <v>4.9000000000000004</v>
      </c>
      <c r="Y62" s="186">
        <v>4.9000000000000004</v>
      </c>
      <c r="Z62" s="186">
        <v>4.9000000000000004</v>
      </c>
      <c r="AA62" s="186">
        <v>4.9000000000000004</v>
      </c>
      <c r="AB62" s="65">
        <v>4.9000000000000004</v>
      </c>
      <c r="AC62" s="65">
        <v>4.9000000000000004</v>
      </c>
      <c r="AD62" s="65">
        <v>4.9000000000000004</v>
      </c>
      <c r="AE62" s="65">
        <v>4.9000000000000004</v>
      </c>
      <c r="AF62" s="65">
        <v>4.9000000000000004</v>
      </c>
      <c r="AG62" s="54">
        <v>14</v>
      </c>
      <c r="AH62" s="47">
        <f t="shared" si="4"/>
        <v>4.9000000000000004</v>
      </c>
      <c r="AI62" s="48">
        <f t="shared" si="5"/>
        <v>3</v>
      </c>
      <c r="AK62" s="49"/>
    </row>
    <row r="63" spans="1:41" ht="15.75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</v>
      </c>
      <c r="Q63" s="65">
        <v>4.5</v>
      </c>
      <c r="R63" s="65">
        <v>4.5</v>
      </c>
      <c r="S63" s="65">
        <v>4.5</v>
      </c>
      <c r="T63" s="65">
        <v>4.5</v>
      </c>
      <c r="U63" s="65">
        <v>4.5</v>
      </c>
      <c r="V63" s="65">
        <v>4.5</v>
      </c>
      <c r="W63" s="65">
        <v>4.5</v>
      </c>
      <c r="X63" s="65">
        <v>4.5</v>
      </c>
      <c r="Y63" s="186">
        <v>4.5</v>
      </c>
      <c r="Z63" s="186">
        <v>4.5</v>
      </c>
      <c r="AA63" s="186">
        <v>4.5</v>
      </c>
      <c r="AB63" s="65">
        <v>4.5</v>
      </c>
      <c r="AC63" s="65">
        <v>4.5</v>
      </c>
      <c r="AD63" s="65">
        <v>4.5</v>
      </c>
      <c r="AE63" s="65">
        <v>4.5</v>
      </c>
      <c r="AF63" s="65">
        <v>4.5</v>
      </c>
      <c r="AG63" s="54">
        <v>10.050000000000001</v>
      </c>
      <c r="AH63" s="47">
        <f t="shared" si="4"/>
        <v>4.5</v>
      </c>
      <c r="AI63" s="48">
        <f t="shared" si="5"/>
        <v>4.5</v>
      </c>
      <c r="AK63" s="49"/>
    </row>
    <row r="64" spans="1:41" ht="15.75" x14ac:dyDescent="0.25">
      <c r="A64" s="53" t="s">
        <v>68</v>
      </c>
      <c r="B64" s="65">
        <v>2.2999999999999998</v>
      </c>
      <c r="C64" s="65">
        <v>2.2999999999999998</v>
      </c>
      <c r="D64" s="65">
        <v>2.2999999999999998</v>
      </c>
      <c r="E64" s="65">
        <v>2.2999999999999998</v>
      </c>
      <c r="F64" s="65">
        <v>2.2999999999999998</v>
      </c>
      <c r="G64" s="65">
        <v>2.2999999999999998</v>
      </c>
      <c r="H64" s="65">
        <v>2.2999999999999998</v>
      </c>
      <c r="I64" s="65">
        <v>2.2999999999999998</v>
      </c>
      <c r="J64" s="65">
        <v>2.2999999999999998</v>
      </c>
      <c r="K64" s="65">
        <v>2.2999999999999998</v>
      </c>
      <c r="L64" s="65">
        <v>2.2999999999999998</v>
      </c>
      <c r="M64" s="65">
        <v>2.2999999999999998</v>
      </c>
      <c r="N64" s="65">
        <v>2.2999999999999998</v>
      </c>
      <c r="O64" s="65">
        <v>2.2999999999999998</v>
      </c>
      <c r="P64" s="65">
        <v>2.2999999999999998</v>
      </c>
      <c r="Q64" s="65">
        <v>2.2999999999999998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186">
        <v>1.5</v>
      </c>
      <c r="Z64" s="186">
        <v>1.5</v>
      </c>
      <c r="AA64" s="186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4"/>
        <v>2.2999999999999998</v>
      </c>
      <c r="AI64" s="48">
        <f t="shared" si="5"/>
        <v>1.5</v>
      </c>
      <c r="AK64" s="49"/>
    </row>
    <row r="65" spans="1:40" ht="16.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187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4"/>
        <v>3.54</v>
      </c>
      <c r="AI65" s="48">
        <f t="shared" si="5"/>
        <v>3.54</v>
      </c>
      <c r="AK65" s="49"/>
    </row>
    <row r="66" spans="1:40" ht="15.75" thickBot="1" x14ac:dyDescent="0.3">
      <c r="A66" s="74" t="s">
        <v>70</v>
      </c>
      <c r="B66" s="60">
        <f t="shared" ref="B66:AG66" si="11">SUM(B53:B65)</f>
        <v>133.64000000000001</v>
      </c>
      <c r="C66" s="60">
        <f t="shared" si="11"/>
        <v>133.64000000000001</v>
      </c>
      <c r="D66" s="60">
        <f t="shared" si="11"/>
        <v>118.04</v>
      </c>
      <c r="E66" s="60">
        <f t="shared" si="11"/>
        <v>95.54</v>
      </c>
      <c r="F66" s="60">
        <f t="shared" si="11"/>
        <v>82.34</v>
      </c>
      <c r="G66" s="60">
        <f t="shared" si="11"/>
        <v>115.64000000000001</v>
      </c>
      <c r="H66" s="60">
        <f t="shared" si="11"/>
        <v>147.74</v>
      </c>
      <c r="I66" s="60">
        <f t="shared" si="11"/>
        <v>171.73999999999998</v>
      </c>
      <c r="J66" s="60">
        <f t="shared" si="11"/>
        <v>232.14</v>
      </c>
      <c r="K66" s="60">
        <f t="shared" si="11"/>
        <v>261.53999999999996</v>
      </c>
      <c r="L66" s="60">
        <f t="shared" si="11"/>
        <v>282.94000000000005</v>
      </c>
      <c r="M66" s="60">
        <f t="shared" ref="M66" si="12">SUM(M53:M65)</f>
        <v>309.24</v>
      </c>
      <c r="N66" s="60">
        <f t="shared" si="11"/>
        <v>265.54000000000002</v>
      </c>
      <c r="O66" s="60">
        <f t="shared" si="11"/>
        <v>249.73999999999998</v>
      </c>
      <c r="P66" s="60">
        <f t="shared" si="11"/>
        <v>274.14000000000004</v>
      </c>
      <c r="Q66" s="60">
        <f t="shared" si="11"/>
        <v>268.14</v>
      </c>
      <c r="R66" s="60">
        <f t="shared" si="11"/>
        <v>253.03999999999996</v>
      </c>
      <c r="S66" s="60">
        <f t="shared" si="11"/>
        <v>272.94</v>
      </c>
      <c r="T66" s="60">
        <f t="shared" si="11"/>
        <v>263.94</v>
      </c>
      <c r="U66" s="60">
        <f t="shared" si="11"/>
        <v>257.53999999999996</v>
      </c>
      <c r="V66" s="60">
        <f t="shared" si="11"/>
        <v>223.14</v>
      </c>
      <c r="W66" s="60">
        <f t="shared" si="11"/>
        <v>213.14</v>
      </c>
      <c r="X66" s="60">
        <f t="shared" si="11"/>
        <v>267.14</v>
      </c>
      <c r="Y66" s="60">
        <f t="shared" si="11"/>
        <v>336.14</v>
      </c>
      <c r="Z66" s="60">
        <f t="shared" si="11"/>
        <v>344.94</v>
      </c>
      <c r="AA66" s="60">
        <f t="shared" si="11"/>
        <v>368.14</v>
      </c>
      <c r="AB66" s="60">
        <f t="shared" si="11"/>
        <v>296.53999999999996</v>
      </c>
      <c r="AC66" s="60">
        <f t="shared" si="11"/>
        <v>247.33999999999997</v>
      </c>
      <c r="AD66" s="60">
        <f t="shared" si="11"/>
        <v>247.94</v>
      </c>
      <c r="AE66" s="60">
        <f t="shared" si="11"/>
        <v>140.13999999999999</v>
      </c>
      <c r="AF66" s="60">
        <f t="shared" si="11"/>
        <v>103.94000000000001</v>
      </c>
      <c r="AG66" s="61">
        <f t="shared" si="11"/>
        <v>489.91</v>
      </c>
      <c r="AH66" s="47">
        <f t="shared" si="4"/>
        <v>368.14</v>
      </c>
      <c r="AI66" s="48">
        <f t="shared" si="5"/>
        <v>82.34</v>
      </c>
      <c r="AK66" s="49"/>
    </row>
    <row r="67" spans="1:40" ht="15.75" x14ac:dyDescent="0.25">
      <c r="A67" s="44" t="s">
        <v>71</v>
      </c>
      <c r="B67" s="45"/>
      <c r="C67" s="45"/>
      <c r="D67" s="45"/>
      <c r="E67" s="45"/>
      <c r="F67" s="45"/>
      <c r="G67" s="45"/>
      <c r="H67" s="45"/>
      <c r="I67" s="45"/>
      <c r="J67" s="45"/>
      <c r="K67" s="45">
        <v>10</v>
      </c>
      <c r="L67" s="45">
        <v>20</v>
      </c>
      <c r="M67" s="45">
        <v>10</v>
      </c>
      <c r="N67" s="45">
        <v>14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50</v>
      </c>
      <c r="V67" s="45">
        <v>30</v>
      </c>
      <c r="W67" s="45">
        <v>30</v>
      </c>
      <c r="X67" s="45">
        <v>30</v>
      </c>
      <c r="Y67" s="182">
        <v>15</v>
      </c>
      <c r="Z67" s="182">
        <v>15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4"/>
        <v>50</v>
      </c>
      <c r="AI67" s="48">
        <f t="shared" si="5"/>
        <v>0</v>
      </c>
      <c r="AK67" s="49"/>
    </row>
    <row r="68" spans="1:40" ht="15.75" x14ac:dyDescent="0.25">
      <c r="A68" s="53" t="s">
        <v>72</v>
      </c>
      <c r="B68" s="65"/>
      <c r="C68" s="65"/>
      <c r="D68" s="65"/>
      <c r="E68" s="65"/>
      <c r="F68" s="65"/>
      <c r="G68" s="65"/>
      <c r="H68" s="65"/>
      <c r="I68" s="65"/>
      <c r="J68" s="65"/>
      <c r="K68" s="65">
        <v>8.5</v>
      </c>
      <c r="L68" s="65">
        <v>13.3</v>
      </c>
      <c r="M68" s="65">
        <v>3.7</v>
      </c>
      <c r="N68" s="65">
        <v>5.8</v>
      </c>
      <c r="O68" s="65">
        <v>0</v>
      </c>
      <c r="P68" s="65">
        <v>0</v>
      </c>
      <c r="Q68" s="45">
        <v>0</v>
      </c>
      <c r="R68" s="45">
        <v>0</v>
      </c>
      <c r="S68" s="45">
        <v>0</v>
      </c>
      <c r="T68" s="45">
        <v>0</v>
      </c>
      <c r="U68" s="65">
        <v>23.5</v>
      </c>
      <c r="V68" s="65">
        <v>20</v>
      </c>
      <c r="W68" s="65">
        <v>20</v>
      </c>
      <c r="X68" s="65">
        <v>20</v>
      </c>
      <c r="Y68" s="177">
        <v>6</v>
      </c>
      <c r="Z68" s="177">
        <v>6</v>
      </c>
      <c r="AA68" s="4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4"/>
        <v>23.5</v>
      </c>
      <c r="AI68" s="48">
        <f t="shared" si="5"/>
        <v>0</v>
      </c>
      <c r="AK68" s="49"/>
    </row>
    <row r="69" spans="1:40" ht="16.5" thickBot="1" x14ac:dyDescent="0.3">
      <c r="A69" s="71" t="s">
        <v>73</v>
      </c>
      <c r="B69" s="67"/>
      <c r="C69" s="67"/>
      <c r="D69" s="67"/>
      <c r="E69" s="67"/>
      <c r="F69" s="67"/>
      <c r="G69" s="67"/>
      <c r="H69" s="67"/>
      <c r="I69" s="67"/>
      <c r="J69" s="67"/>
      <c r="K69" s="67">
        <v>3.1</v>
      </c>
      <c r="L69" s="67">
        <v>4.8</v>
      </c>
      <c r="M69" s="67">
        <v>1.3</v>
      </c>
      <c r="N69" s="67">
        <v>2</v>
      </c>
      <c r="O69" s="67">
        <v>0</v>
      </c>
      <c r="P69" s="67">
        <v>0</v>
      </c>
      <c r="Q69" s="45">
        <v>0</v>
      </c>
      <c r="R69" s="45">
        <v>0</v>
      </c>
      <c r="S69" s="45">
        <v>0</v>
      </c>
      <c r="T69" s="45">
        <v>0</v>
      </c>
      <c r="U69" s="67">
        <v>8.6</v>
      </c>
      <c r="V69" s="67">
        <v>7.2</v>
      </c>
      <c r="W69" s="67">
        <v>7.2</v>
      </c>
      <c r="X69" s="67">
        <v>7.2</v>
      </c>
      <c r="Y69" s="183">
        <v>2.2000000000000002</v>
      </c>
      <c r="Z69" s="183">
        <v>2.2000000000000002</v>
      </c>
      <c r="AA69" s="45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4"/>
        <v>8.6</v>
      </c>
      <c r="AI69" s="48">
        <f t="shared" si="5"/>
        <v>0</v>
      </c>
      <c r="AK69" s="49"/>
    </row>
    <row r="70" spans="1:40" ht="15.75" thickBot="1" x14ac:dyDescent="0.3">
      <c r="A70" s="74" t="s">
        <v>74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38.099999999999994</v>
      </c>
      <c r="M70" s="60">
        <f>M67+M68+M69</f>
        <v>15</v>
      </c>
      <c r="N70" s="60">
        <f t="shared" ref="N70:AF70" si="13">N67+N68+N69</f>
        <v>21.8</v>
      </c>
      <c r="O70" s="60">
        <f t="shared" si="13"/>
        <v>0</v>
      </c>
      <c r="P70" s="60">
        <f t="shared" si="13"/>
        <v>0</v>
      </c>
      <c r="Q70" s="60">
        <f t="shared" si="13"/>
        <v>0</v>
      </c>
      <c r="R70" s="60">
        <f t="shared" si="13"/>
        <v>0</v>
      </c>
      <c r="S70" s="60">
        <f t="shared" si="13"/>
        <v>0</v>
      </c>
      <c r="T70" s="60">
        <f t="shared" si="13"/>
        <v>0</v>
      </c>
      <c r="U70" s="60">
        <f t="shared" si="13"/>
        <v>82.1</v>
      </c>
      <c r="V70" s="60">
        <f>U67+U68+U69</f>
        <v>82.1</v>
      </c>
      <c r="W70" s="60">
        <f t="shared" si="13"/>
        <v>57.2</v>
      </c>
      <c r="X70" s="60">
        <f t="shared" si="13"/>
        <v>57.2</v>
      </c>
      <c r="Y70" s="60">
        <f t="shared" si="13"/>
        <v>23.2</v>
      </c>
      <c r="Z70" s="60">
        <f t="shared" si="13"/>
        <v>23.2</v>
      </c>
      <c r="AA70" s="60">
        <f t="shared" si="13"/>
        <v>0</v>
      </c>
      <c r="AB70" s="60">
        <f t="shared" si="13"/>
        <v>0</v>
      </c>
      <c r="AC70" s="60">
        <f t="shared" si="13"/>
        <v>0</v>
      </c>
      <c r="AD70" s="60">
        <f t="shared" si="13"/>
        <v>0</v>
      </c>
      <c r="AE70" s="60">
        <f t="shared" si="13"/>
        <v>0</v>
      </c>
      <c r="AF70" s="60">
        <f t="shared" si="13"/>
        <v>0</v>
      </c>
      <c r="AG70" s="61">
        <f>SUM(AG67:AG69)</f>
        <v>106</v>
      </c>
      <c r="AH70" s="47">
        <f t="shared" si="4"/>
        <v>82.1</v>
      </c>
      <c r="AI70" s="48">
        <f t="shared" si="5"/>
        <v>0</v>
      </c>
      <c r="AK70" s="49"/>
    </row>
    <row r="71" spans="1:40" ht="15.75" x14ac:dyDescent="0.25">
      <c r="A71" s="4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186">
        <v>0</v>
      </c>
      <c r="Z71" s="186">
        <v>0</v>
      </c>
      <c r="AA71" s="186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51"/>
      <c r="AH71" s="47">
        <f t="shared" si="4"/>
        <v>0</v>
      </c>
      <c r="AI71" s="48">
        <f t="shared" si="5"/>
        <v>0</v>
      </c>
      <c r="AK71" s="49"/>
    </row>
    <row r="72" spans="1:40" ht="15.75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186">
        <v>0</v>
      </c>
      <c r="Z72" s="186">
        <v>0</v>
      </c>
      <c r="AA72" s="186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4"/>
        <v>0</v>
      </c>
      <c r="AI72" s="48">
        <f t="shared" si="5"/>
        <v>0</v>
      </c>
      <c r="AK72" s="49"/>
    </row>
    <row r="73" spans="1:40" ht="15.75" x14ac:dyDescent="0.25">
      <c r="A73" s="53" t="s">
        <v>77</v>
      </c>
      <c r="B73" s="65">
        <v>322</v>
      </c>
      <c r="C73" s="65">
        <v>300</v>
      </c>
      <c r="D73" s="65">
        <v>315</v>
      </c>
      <c r="E73" s="65">
        <v>330</v>
      </c>
      <c r="F73" s="65">
        <v>320</v>
      </c>
      <c r="G73" s="65">
        <v>360</v>
      </c>
      <c r="H73" s="65">
        <v>310</v>
      </c>
      <c r="I73" s="65">
        <v>310</v>
      </c>
      <c r="J73" s="65">
        <v>281</v>
      </c>
      <c r="K73" s="65">
        <v>330</v>
      </c>
      <c r="L73" s="65">
        <v>172</v>
      </c>
      <c r="M73" s="65">
        <v>158.9</v>
      </c>
      <c r="N73" s="65">
        <v>301</v>
      </c>
      <c r="O73" s="65">
        <v>341.3</v>
      </c>
      <c r="P73" s="65">
        <v>337.1</v>
      </c>
      <c r="Q73" s="65">
        <v>324.3</v>
      </c>
      <c r="R73" s="65">
        <v>338</v>
      </c>
      <c r="S73" s="65">
        <v>366</v>
      </c>
      <c r="T73" s="65">
        <v>340</v>
      </c>
      <c r="U73" s="65">
        <v>341</v>
      </c>
      <c r="V73" s="65">
        <v>350</v>
      </c>
      <c r="W73" s="65">
        <v>379</v>
      </c>
      <c r="X73" s="65">
        <v>336</v>
      </c>
      <c r="Y73" s="186">
        <v>334</v>
      </c>
      <c r="Z73" s="186">
        <v>304</v>
      </c>
      <c r="AA73" s="186">
        <v>314</v>
      </c>
      <c r="AB73" s="65">
        <v>350</v>
      </c>
      <c r="AC73" s="65">
        <v>344.8</v>
      </c>
      <c r="AD73" s="65">
        <v>345</v>
      </c>
      <c r="AE73" s="65">
        <v>333.5</v>
      </c>
      <c r="AF73" s="65">
        <v>344</v>
      </c>
      <c r="AG73" s="75"/>
      <c r="AH73" s="47">
        <f t="shared" si="4"/>
        <v>379</v>
      </c>
      <c r="AI73" s="48">
        <f t="shared" si="5"/>
        <v>158.9</v>
      </c>
      <c r="AK73" s="49"/>
    </row>
    <row r="74" spans="1:40" ht="15.75" x14ac:dyDescent="0.25">
      <c r="A74" s="53" t="s">
        <v>78</v>
      </c>
      <c r="B74" s="76">
        <v>53</v>
      </c>
      <c r="C74" s="76">
        <v>4</v>
      </c>
      <c r="D74" s="76">
        <v>50</v>
      </c>
      <c r="E74" s="76">
        <v>50</v>
      </c>
      <c r="F74" s="76">
        <v>48</v>
      </c>
      <c r="G74" s="76">
        <v>54</v>
      </c>
      <c r="H74" s="76">
        <v>56.1</v>
      </c>
      <c r="I74" s="76">
        <v>59.7</v>
      </c>
      <c r="J74" s="76">
        <v>59.7</v>
      </c>
      <c r="K74" s="76">
        <v>54</v>
      </c>
      <c r="L74" s="76">
        <v>54</v>
      </c>
      <c r="M74" s="76">
        <v>52.8</v>
      </c>
      <c r="N74" s="76">
        <v>47</v>
      </c>
      <c r="O74" s="76">
        <v>45.4</v>
      </c>
      <c r="P74" s="76">
        <v>52.9</v>
      </c>
      <c r="Q74" s="76">
        <v>59.6</v>
      </c>
      <c r="R74" s="76">
        <v>46.4</v>
      </c>
      <c r="S74" s="76">
        <v>46.4</v>
      </c>
      <c r="T74" s="76">
        <v>56.2</v>
      </c>
      <c r="U74" s="76">
        <v>56.2</v>
      </c>
      <c r="V74" s="76">
        <v>56.2</v>
      </c>
      <c r="W74" s="76">
        <v>52.5</v>
      </c>
      <c r="X74" s="76">
        <v>55</v>
      </c>
      <c r="Y74" s="186">
        <v>56</v>
      </c>
      <c r="Z74" s="186">
        <v>56</v>
      </c>
      <c r="AA74" s="186">
        <v>56.6</v>
      </c>
      <c r="AB74" s="65">
        <v>57</v>
      </c>
      <c r="AC74" s="65">
        <v>58</v>
      </c>
      <c r="AD74" s="65">
        <v>49.5</v>
      </c>
      <c r="AE74" s="65">
        <v>47.4</v>
      </c>
      <c r="AF74" s="65">
        <v>52.3</v>
      </c>
      <c r="AG74" s="75"/>
      <c r="AH74" s="47">
        <f t="shared" si="4"/>
        <v>59.7</v>
      </c>
      <c r="AI74" s="48">
        <f t="shared" si="5"/>
        <v>4</v>
      </c>
      <c r="AK74" s="49"/>
    </row>
    <row r="75" spans="1:40" ht="15.75" x14ac:dyDescent="0.25">
      <c r="A75" s="53" t="s">
        <v>79</v>
      </c>
      <c r="B75" s="45">
        <v>14</v>
      </c>
      <c r="C75" s="45">
        <v>14</v>
      </c>
      <c r="D75" s="45">
        <v>14</v>
      </c>
      <c r="E75" s="45">
        <v>0</v>
      </c>
      <c r="F75" s="45">
        <v>19</v>
      </c>
      <c r="G75" s="45">
        <v>0</v>
      </c>
      <c r="H75" s="45">
        <v>85</v>
      </c>
      <c r="I75" s="45">
        <v>85</v>
      </c>
      <c r="J75" s="45">
        <v>85</v>
      </c>
      <c r="K75" s="45">
        <v>85</v>
      </c>
      <c r="L75" s="45">
        <v>85</v>
      </c>
      <c r="M75" s="45">
        <v>81.599999999999994</v>
      </c>
      <c r="N75" s="45">
        <v>80</v>
      </c>
      <c r="O75" s="45">
        <v>79</v>
      </c>
      <c r="P75" s="45">
        <v>81.8</v>
      </c>
      <c r="Q75" s="45">
        <v>80</v>
      </c>
      <c r="R75" s="45">
        <v>80</v>
      </c>
      <c r="S75" s="45">
        <v>80</v>
      </c>
      <c r="T75" s="45">
        <v>85</v>
      </c>
      <c r="U75" s="45">
        <v>82</v>
      </c>
      <c r="V75" s="45">
        <v>84</v>
      </c>
      <c r="W75" s="45">
        <v>80</v>
      </c>
      <c r="X75" s="45">
        <v>58</v>
      </c>
      <c r="Y75" s="186">
        <v>55</v>
      </c>
      <c r="Z75" s="186">
        <v>55</v>
      </c>
      <c r="AA75" s="186">
        <v>55</v>
      </c>
      <c r="AB75" s="45">
        <v>74</v>
      </c>
      <c r="AC75" s="45">
        <v>77</v>
      </c>
      <c r="AD75" s="45">
        <v>92</v>
      </c>
      <c r="AE75" s="45">
        <v>84</v>
      </c>
      <c r="AF75" s="45">
        <v>86</v>
      </c>
      <c r="AG75" s="75"/>
      <c r="AH75" s="47">
        <f t="shared" si="4"/>
        <v>92</v>
      </c>
      <c r="AI75" s="48">
        <f t="shared" si="5"/>
        <v>0</v>
      </c>
      <c r="AK75" s="49"/>
    </row>
    <row r="76" spans="1:40" ht="15.75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0</v>
      </c>
      <c r="M76" s="77">
        <v>0</v>
      </c>
      <c r="N76" s="77">
        <v>0</v>
      </c>
      <c r="O76" s="77">
        <v>0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186">
        <v>5</v>
      </c>
      <c r="Z76" s="186">
        <v>5</v>
      </c>
      <c r="AA76" s="186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4"/>
        <v>5</v>
      </c>
      <c r="AI76" s="48">
        <f t="shared" si="5"/>
        <v>0</v>
      </c>
      <c r="AK76" s="49"/>
    </row>
    <row r="77" spans="1:40" ht="16.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186">
        <v>0</v>
      </c>
      <c r="Z77" s="186">
        <v>0</v>
      </c>
      <c r="AA77" s="186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4"/>
        <v>0</v>
      </c>
      <c r="AI77" s="48">
        <f t="shared" si="5"/>
        <v>0</v>
      </c>
      <c r="AK77" s="49"/>
      <c r="AL77" s="78" t="s">
        <v>82</v>
      </c>
      <c r="AM77" s="78"/>
    </row>
    <row r="78" spans="1:40" ht="15.75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186">
        <v>0</v>
      </c>
      <c r="Z78" s="186">
        <v>0</v>
      </c>
      <c r="AA78" s="186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4"/>
        <v>0</v>
      </c>
      <c r="AI78" s="48">
        <f t="shared" si="5"/>
        <v>0</v>
      </c>
      <c r="AK78" s="79"/>
      <c r="AL78" s="80">
        <v>14</v>
      </c>
      <c r="AM78" s="80">
        <v>10</v>
      </c>
      <c r="AN78" s="81"/>
    </row>
    <row r="79" spans="1:40" ht="15.75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186">
        <v>0</v>
      </c>
      <c r="Z79" s="186">
        <v>0</v>
      </c>
      <c r="AA79" s="186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ref="AH79:AH117" si="14">MAX(B79:AF79)</f>
        <v>0</v>
      </c>
      <c r="AI79" s="48">
        <f t="shared" ref="AI79:AI117" si="15">MIN(B79:AF79)</f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ht="15.75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186">
        <v>0</v>
      </c>
      <c r="Z80" s="186">
        <v>0</v>
      </c>
      <c r="AA80" s="186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4"/>
        <v>0</v>
      </c>
      <c r="AI80" s="48">
        <f t="shared" si="15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6.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186">
        <v>0</v>
      </c>
      <c r="Z81" s="186">
        <v>0</v>
      </c>
      <c r="AA81" s="186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4"/>
        <v>0</v>
      </c>
      <c r="AI81" s="48">
        <f t="shared" si="15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6">SUMIF(B71:B81,"&gt;0")</f>
        <v>394</v>
      </c>
      <c r="C82" s="60">
        <f t="shared" si="16"/>
        <v>323</v>
      </c>
      <c r="D82" s="60">
        <f t="shared" si="16"/>
        <v>384</v>
      </c>
      <c r="E82" s="60">
        <f t="shared" si="16"/>
        <v>385</v>
      </c>
      <c r="F82" s="60">
        <f t="shared" si="16"/>
        <v>392</v>
      </c>
      <c r="G82" s="60">
        <f t="shared" si="16"/>
        <v>419</v>
      </c>
      <c r="H82" s="60">
        <f t="shared" si="16"/>
        <v>456.1</v>
      </c>
      <c r="I82" s="60">
        <f t="shared" si="16"/>
        <v>459.7</v>
      </c>
      <c r="J82" s="60">
        <f t="shared" si="16"/>
        <v>430.7</v>
      </c>
      <c r="K82" s="60">
        <f t="shared" si="16"/>
        <v>474</v>
      </c>
      <c r="L82" s="60">
        <f t="shared" si="16"/>
        <v>311</v>
      </c>
      <c r="M82" s="60">
        <f t="shared" ref="M82" si="17">SUMIF(M71:M81,"&gt;0")</f>
        <v>293.29999999999995</v>
      </c>
      <c r="N82" s="60">
        <f t="shared" si="16"/>
        <v>428</v>
      </c>
      <c r="O82" s="60">
        <f t="shared" si="16"/>
        <v>465.7</v>
      </c>
      <c r="P82" s="60">
        <f t="shared" si="16"/>
        <v>476.8</v>
      </c>
      <c r="Q82" s="60">
        <f t="shared" si="16"/>
        <v>468.90000000000003</v>
      </c>
      <c r="R82" s="60">
        <f t="shared" si="16"/>
        <v>469.4</v>
      </c>
      <c r="S82" s="60">
        <f t="shared" si="16"/>
        <v>497.4</v>
      </c>
      <c r="T82" s="60">
        <f t="shared" si="16"/>
        <v>486.2</v>
      </c>
      <c r="U82" s="60">
        <f t="shared" si="16"/>
        <v>484.2</v>
      </c>
      <c r="V82" s="60">
        <f t="shared" si="16"/>
        <v>495.2</v>
      </c>
      <c r="W82" s="60">
        <f t="shared" si="16"/>
        <v>516.5</v>
      </c>
      <c r="X82" s="60">
        <f t="shared" si="16"/>
        <v>454</v>
      </c>
      <c r="Y82" s="60">
        <f t="shared" si="16"/>
        <v>450</v>
      </c>
      <c r="Z82" s="60">
        <f t="shared" si="16"/>
        <v>420</v>
      </c>
      <c r="AA82" s="60">
        <f t="shared" si="16"/>
        <v>430.6</v>
      </c>
      <c r="AB82" s="60">
        <f t="shared" si="16"/>
        <v>486</v>
      </c>
      <c r="AC82" s="60">
        <f t="shared" si="16"/>
        <v>484.8</v>
      </c>
      <c r="AD82" s="60">
        <f t="shared" si="16"/>
        <v>491.5</v>
      </c>
      <c r="AE82" s="60">
        <f t="shared" si="16"/>
        <v>469.9</v>
      </c>
      <c r="AF82" s="60">
        <f t="shared" si="16"/>
        <v>487.3</v>
      </c>
      <c r="AG82" s="88">
        <f>SUM(AG71:AG81)</f>
        <v>0</v>
      </c>
      <c r="AH82" s="47">
        <f t="shared" si="14"/>
        <v>516.5</v>
      </c>
      <c r="AI82" s="48">
        <f t="shared" si="15"/>
        <v>293.29999999999995</v>
      </c>
      <c r="AK82" s="86"/>
      <c r="AL82" s="77"/>
      <c r="AM82" s="89"/>
      <c r="AN82" s="193">
        <f>448.2/4</f>
        <v>112.05</v>
      </c>
    </row>
    <row r="83" spans="1:40" ht="15.75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189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4"/>
        <v>0</v>
      </c>
      <c r="AI83" s="48">
        <f t="shared" si="15"/>
        <v>0</v>
      </c>
      <c r="AK83" s="86"/>
      <c r="AL83" s="77"/>
      <c r="AM83" s="77"/>
      <c r="AN83" s="194"/>
    </row>
    <row r="84" spans="1:40" ht="16.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185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4"/>
        <v>0</v>
      </c>
      <c r="AI84" s="48">
        <f t="shared" si="15"/>
        <v>0</v>
      </c>
      <c r="AK84" s="91"/>
      <c r="AL84" s="92"/>
      <c r="AM84" s="92"/>
      <c r="AN84" s="93"/>
    </row>
    <row r="85" spans="1:40" ht="16.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190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4"/>
        <v>0</v>
      </c>
      <c r="AI85" s="48">
        <f t="shared" si="15"/>
        <v>0</v>
      </c>
    </row>
    <row r="86" spans="1:40" ht="16.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188">
        <v>0</v>
      </c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4"/>
        <v>0</v>
      </c>
      <c r="AI86" s="48">
        <f t="shared" si="15"/>
        <v>0</v>
      </c>
    </row>
    <row r="87" spans="1:40" ht="15.75" thickBot="1" x14ac:dyDescent="0.3">
      <c r="A87" s="74" t="s">
        <v>94</v>
      </c>
      <c r="B87" s="95">
        <f>B48+B52+B70+B66+B82+B86</f>
        <v>942.84</v>
      </c>
      <c r="C87" s="95">
        <f t="shared" ref="C87:AG87" si="18">C48+C52+C70+C66+C82+C86</f>
        <v>871.84</v>
      </c>
      <c r="D87" s="95">
        <f t="shared" si="18"/>
        <v>917.24</v>
      </c>
      <c r="E87" s="95">
        <f t="shared" si="18"/>
        <v>899.24</v>
      </c>
      <c r="F87" s="95">
        <f t="shared" si="18"/>
        <v>896.54</v>
      </c>
      <c r="G87" s="95">
        <f t="shared" si="18"/>
        <v>956.84</v>
      </c>
      <c r="H87" s="95">
        <f t="shared" si="18"/>
        <v>1037.24</v>
      </c>
      <c r="I87" s="95">
        <f t="shared" si="18"/>
        <v>1119.8399999999999</v>
      </c>
      <c r="J87" s="95">
        <f t="shared" si="18"/>
        <v>1194.6399999999999</v>
      </c>
      <c r="K87" s="95">
        <f t="shared" si="18"/>
        <v>1232.2399999999998</v>
      </c>
      <c r="L87" s="95">
        <f t="shared" si="18"/>
        <v>1283.7400000000002</v>
      </c>
      <c r="M87" s="95">
        <f t="shared" ref="M87" si="19">M48+M52+M70+M66+M82+M86</f>
        <v>1292.3399999999999</v>
      </c>
      <c r="N87" s="95">
        <f t="shared" si="18"/>
        <v>1230.1399999999999</v>
      </c>
      <c r="O87" s="95">
        <f t="shared" si="18"/>
        <v>1200.24</v>
      </c>
      <c r="P87" s="95">
        <f t="shared" si="18"/>
        <v>1213.44</v>
      </c>
      <c r="Q87" s="95">
        <f t="shared" si="18"/>
        <v>1239.54</v>
      </c>
      <c r="R87" s="95">
        <f t="shared" si="18"/>
        <v>1244.94</v>
      </c>
      <c r="S87" s="95">
        <f t="shared" si="18"/>
        <v>1262.8400000000001</v>
      </c>
      <c r="T87" s="95">
        <f t="shared" si="18"/>
        <v>1284.6400000000001</v>
      </c>
      <c r="U87" s="95">
        <f t="shared" si="18"/>
        <v>1298.8399999999999</v>
      </c>
      <c r="V87" s="95">
        <f t="shared" si="18"/>
        <v>1243.44</v>
      </c>
      <c r="W87" s="95">
        <f t="shared" si="18"/>
        <v>1241.6399999999999</v>
      </c>
      <c r="X87" s="95">
        <f t="shared" si="18"/>
        <v>1283.3400000000001</v>
      </c>
      <c r="Y87" s="95">
        <f t="shared" si="18"/>
        <v>1375.3400000000001</v>
      </c>
      <c r="Z87" s="95">
        <f t="shared" si="18"/>
        <v>1359.14</v>
      </c>
      <c r="AA87" s="95">
        <f t="shared" si="18"/>
        <v>1335.74</v>
      </c>
      <c r="AB87" s="95">
        <f t="shared" si="18"/>
        <v>1257.44</v>
      </c>
      <c r="AC87" s="95">
        <f t="shared" si="18"/>
        <v>1247.04</v>
      </c>
      <c r="AD87" s="95">
        <f t="shared" si="18"/>
        <v>1219.3399999999999</v>
      </c>
      <c r="AE87" s="95">
        <f t="shared" si="18"/>
        <v>1079.94</v>
      </c>
      <c r="AF87" s="95">
        <f t="shared" si="18"/>
        <v>1026.1400000000001</v>
      </c>
      <c r="AG87" s="61">
        <f t="shared" si="18"/>
        <v>2065.09</v>
      </c>
      <c r="AH87" s="47">
        <f>MAX(B87:AF87)</f>
        <v>1375.3400000000001</v>
      </c>
      <c r="AI87" s="48">
        <f>MIN(B87:AF87)</f>
        <v>871.84</v>
      </c>
    </row>
    <row r="88" spans="1:40" ht="16.5" thickBot="1" x14ac:dyDescent="0.3">
      <c r="A88" s="96" t="s">
        <v>95</v>
      </c>
      <c r="B88" s="97">
        <v>60</v>
      </c>
      <c r="C88" s="97">
        <v>60</v>
      </c>
      <c r="D88" s="97">
        <v>60</v>
      </c>
      <c r="E88" s="97">
        <v>60</v>
      </c>
      <c r="F88" s="97">
        <v>60</v>
      </c>
      <c r="G88" s="97">
        <v>60</v>
      </c>
      <c r="H88" s="97">
        <v>60</v>
      </c>
      <c r="I88" s="97">
        <v>60</v>
      </c>
      <c r="J88" s="97">
        <v>60</v>
      </c>
      <c r="K88" s="97">
        <v>120</v>
      </c>
      <c r="L88" s="97">
        <v>150</v>
      </c>
      <c r="M88" s="97">
        <v>150</v>
      </c>
      <c r="N88" s="97">
        <v>150</v>
      </c>
      <c r="O88" s="97">
        <v>150</v>
      </c>
      <c r="P88" s="97">
        <v>100</v>
      </c>
      <c r="Q88" s="97"/>
      <c r="R88" s="97"/>
      <c r="S88" s="97"/>
      <c r="T88" s="97"/>
      <c r="U88" s="97"/>
      <c r="V88" s="97"/>
      <c r="W88" s="97"/>
      <c r="X88" s="97">
        <v>180</v>
      </c>
      <c r="Y88" s="179">
        <v>180</v>
      </c>
      <c r="Z88" s="97">
        <v>180</v>
      </c>
      <c r="AA88" s="97">
        <v>180</v>
      </c>
      <c r="AB88" s="97">
        <v>160</v>
      </c>
      <c r="AC88" s="97">
        <v>120</v>
      </c>
      <c r="AD88" s="97">
        <v>120</v>
      </c>
      <c r="AE88" s="97">
        <v>50</v>
      </c>
      <c r="AF88" s="97">
        <v>50</v>
      </c>
      <c r="AG88" s="88"/>
      <c r="AH88" s="47">
        <f t="shared" si="14"/>
        <v>180</v>
      </c>
      <c r="AI88" s="48">
        <f t="shared" si="15"/>
        <v>50</v>
      </c>
    </row>
    <row r="89" spans="1:40" ht="15.75" thickBot="1" x14ac:dyDescent="0.3">
      <c r="A89" s="74" t="s">
        <v>96</v>
      </c>
      <c r="B89" s="95">
        <f>B87+B88</f>
        <v>1002.84</v>
      </c>
      <c r="C89" s="95">
        <f t="shared" ref="C89:AF89" si="20">C87+C88</f>
        <v>931.84</v>
      </c>
      <c r="D89" s="95">
        <f t="shared" si="20"/>
        <v>977.24</v>
      </c>
      <c r="E89" s="95">
        <f t="shared" si="20"/>
        <v>959.24</v>
      </c>
      <c r="F89" s="95">
        <f t="shared" si="20"/>
        <v>956.54</v>
      </c>
      <c r="G89" s="95">
        <f t="shared" si="20"/>
        <v>1016.84</v>
      </c>
      <c r="H89" s="95">
        <f t="shared" si="20"/>
        <v>1097.24</v>
      </c>
      <c r="I89" s="95">
        <f t="shared" si="20"/>
        <v>1179.8399999999999</v>
      </c>
      <c r="J89" s="95">
        <f t="shared" si="20"/>
        <v>1254.6399999999999</v>
      </c>
      <c r="K89" s="95">
        <f t="shared" si="20"/>
        <v>1352.2399999999998</v>
      </c>
      <c r="L89" s="95">
        <f t="shared" si="20"/>
        <v>1433.7400000000002</v>
      </c>
      <c r="M89" s="95">
        <f t="shared" ref="M89" si="21">M87+M88</f>
        <v>1442.34</v>
      </c>
      <c r="N89" s="95">
        <f t="shared" si="20"/>
        <v>1380.1399999999999</v>
      </c>
      <c r="O89" s="95">
        <f t="shared" si="20"/>
        <v>1350.24</v>
      </c>
      <c r="P89" s="95">
        <f t="shared" si="20"/>
        <v>1313.44</v>
      </c>
      <c r="Q89" s="95">
        <f t="shared" si="20"/>
        <v>1239.54</v>
      </c>
      <c r="R89" s="95">
        <f t="shared" si="20"/>
        <v>1244.94</v>
      </c>
      <c r="S89" s="95">
        <f t="shared" si="20"/>
        <v>1262.8400000000001</v>
      </c>
      <c r="T89" s="95">
        <f t="shared" si="20"/>
        <v>1284.6400000000001</v>
      </c>
      <c r="U89" s="95">
        <f t="shared" si="20"/>
        <v>1298.8399999999999</v>
      </c>
      <c r="V89" s="95">
        <f t="shared" si="20"/>
        <v>1243.44</v>
      </c>
      <c r="W89" s="95">
        <f t="shared" si="20"/>
        <v>1241.6399999999999</v>
      </c>
      <c r="X89" s="95">
        <f t="shared" si="20"/>
        <v>1463.3400000000001</v>
      </c>
      <c r="Y89" s="95">
        <f t="shared" si="20"/>
        <v>1555.3400000000001</v>
      </c>
      <c r="Z89" s="95">
        <f t="shared" si="20"/>
        <v>1539.14</v>
      </c>
      <c r="AA89" s="95">
        <f t="shared" si="20"/>
        <v>1515.74</v>
      </c>
      <c r="AB89" s="95">
        <f t="shared" si="20"/>
        <v>1417.44</v>
      </c>
      <c r="AC89" s="95">
        <f t="shared" si="20"/>
        <v>1367.04</v>
      </c>
      <c r="AD89" s="95">
        <f t="shared" si="20"/>
        <v>1339.34</v>
      </c>
      <c r="AE89" s="95">
        <f t="shared" si="20"/>
        <v>1129.94</v>
      </c>
      <c r="AF89" s="95">
        <f t="shared" si="20"/>
        <v>1076.1400000000001</v>
      </c>
      <c r="AG89" s="88">
        <f>AG86+AG82+AG70+AG66+AG48+AG88</f>
        <v>1526.99</v>
      </c>
      <c r="AH89" s="47">
        <f t="shared" si="14"/>
        <v>1555.3400000000001</v>
      </c>
      <c r="AI89" s="48">
        <f t="shared" si="15"/>
        <v>931.84</v>
      </c>
    </row>
    <row r="90" spans="1:40" ht="15.75" thickBot="1" x14ac:dyDescent="0.3">
      <c r="A90" s="74" t="s">
        <v>97</v>
      </c>
      <c r="B90" s="95">
        <f t="shared" ref="B90:AF90" si="22">B89-B97</f>
        <v>1002.84</v>
      </c>
      <c r="C90" s="95">
        <f t="shared" si="22"/>
        <v>931.84</v>
      </c>
      <c r="D90" s="95">
        <f t="shared" si="22"/>
        <v>977.24</v>
      </c>
      <c r="E90" s="95">
        <f t="shared" si="22"/>
        <v>959.24</v>
      </c>
      <c r="F90" s="95">
        <f t="shared" si="22"/>
        <v>956.54</v>
      </c>
      <c r="G90" s="95">
        <f t="shared" si="22"/>
        <v>1016.84</v>
      </c>
      <c r="H90" s="95">
        <f t="shared" si="22"/>
        <v>1097.24</v>
      </c>
      <c r="I90" s="95">
        <f t="shared" si="22"/>
        <v>1179.8399999999999</v>
      </c>
      <c r="J90" s="95">
        <f t="shared" si="22"/>
        <v>1254.6399999999999</v>
      </c>
      <c r="K90" s="95">
        <f t="shared" si="22"/>
        <v>1352.2399999999998</v>
      </c>
      <c r="L90" s="95">
        <f t="shared" si="22"/>
        <v>1433.7400000000002</v>
      </c>
      <c r="M90" s="95">
        <f t="shared" ref="M90" si="23">M89-M97</f>
        <v>1442.34</v>
      </c>
      <c r="N90" s="95">
        <f t="shared" si="22"/>
        <v>1380.1399999999999</v>
      </c>
      <c r="O90" s="95">
        <f t="shared" si="22"/>
        <v>1350.24</v>
      </c>
      <c r="P90" s="95">
        <f t="shared" si="22"/>
        <v>1313.44</v>
      </c>
      <c r="Q90" s="95">
        <f t="shared" si="22"/>
        <v>1239.54</v>
      </c>
      <c r="R90" s="95">
        <f t="shared" si="22"/>
        <v>1244.94</v>
      </c>
      <c r="S90" s="95">
        <f t="shared" si="22"/>
        <v>1262.8400000000001</v>
      </c>
      <c r="T90" s="95">
        <f t="shared" si="22"/>
        <v>1284.6400000000001</v>
      </c>
      <c r="U90" s="95">
        <f t="shared" si="22"/>
        <v>1298.8399999999999</v>
      </c>
      <c r="V90" s="95">
        <f t="shared" si="22"/>
        <v>1243.44</v>
      </c>
      <c r="W90" s="95">
        <f t="shared" si="22"/>
        <v>1241.6399999999999</v>
      </c>
      <c r="X90" s="95">
        <f t="shared" si="22"/>
        <v>1463.3400000000001</v>
      </c>
      <c r="Y90" s="95">
        <f t="shared" si="22"/>
        <v>1555.3400000000001</v>
      </c>
      <c r="Z90" s="95">
        <f t="shared" si="22"/>
        <v>1539.14</v>
      </c>
      <c r="AA90" s="95">
        <f t="shared" si="22"/>
        <v>1515.74</v>
      </c>
      <c r="AB90" s="95">
        <f t="shared" si="22"/>
        <v>1417.44</v>
      </c>
      <c r="AC90" s="95">
        <f t="shared" si="22"/>
        <v>1367.04</v>
      </c>
      <c r="AD90" s="95">
        <f t="shared" si="22"/>
        <v>1339.34</v>
      </c>
      <c r="AE90" s="95">
        <f t="shared" si="22"/>
        <v>1129.94</v>
      </c>
      <c r="AF90" s="95">
        <f t="shared" si="22"/>
        <v>1076.1400000000001</v>
      </c>
      <c r="AG90" s="88"/>
      <c r="AH90" s="47">
        <f t="shared" si="14"/>
        <v>1555.3400000000001</v>
      </c>
      <c r="AI90" s="48">
        <f t="shared" si="15"/>
        <v>931.84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4"/>
        <v>0</v>
      </c>
      <c r="AI91" s="48">
        <f t="shared" si="15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4"/>
        <v>0</v>
      </c>
      <c r="AI92" s="48">
        <f t="shared" si="15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4"/>
        <v>0</v>
      </c>
      <c r="AI93" s="48">
        <f t="shared" si="15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4"/>
        <v>0</v>
      </c>
      <c r="AI94" s="48">
        <f t="shared" si="15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4"/>
        <v>0</v>
      </c>
      <c r="AI95" s="48">
        <f t="shared" si="15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4"/>
        <v>0</v>
      </c>
      <c r="AI96" s="48">
        <f t="shared" si="15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4"/>
        <v>0</v>
      </c>
      <c r="AI97" s="48">
        <f t="shared" si="15"/>
        <v>0</v>
      </c>
      <c r="AK97" s="49"/>
    </row>
    <row r="98" spans="1:37" ht="15.75" thickBot="1" x14ac:dyDescent="0.3">
      <c r="A98" s="74" t="s">
        <v>102</v>
      </c>
      <c r="B98" s="60">
        <f t="shared" ref="B98:AF98" si="24">B82-B97</f>
        <v>394</v>
      </c>
      <c r="C98" s="60">
        <f t="shared" si="24"/>
        <v>323</v>
      </c>
      <c r="D98" s="60">
        <f t="shared" si="24"/>
        <v>384</v>
      </c>
      <c r="E98" s="60">
        <f t="shared" si="24"/>
        <v>385</v>
      </c>
      <c r="F98" s="60">
        <f t="shared" si="24"/>
        <v>392</v>
      </c>
      <c r="G98" s="60">
        <f t="shared" si="24"/>
        <v>419</v>
      </c>
      <c r="H98" s="60">
        <f t="shared" si="24"/>
        <v>456.1</v>
      </c>
      <c r="I98" s="60">
        <f t="shared" si="24"/>
        <v>459.7</v>
      </c>
      <c r="J98" s="60">
        <f t="shared" si="24"/>
        <v>430.7</v>
      </c>
      <c r="K98" s="60">
        <f t="shared" si="24"/>
        <v>474</v>
      </c>
      <c r="L98" s="60">
        <f t="shared" si="24"/>
        <v>311</v>
      </c>
      <c r="M98" s="60">
        <f t="shared" ref="M98" si="25">M82-M97</f>
        <v>293.29999999999995</v>
      </c>
      <c r="N98" s="60">
        <f t="shared" si="24"/>
        <v>428</v>
      </c>
      <c r="O98" s="60">
        <f t="shared" si="24"/>
        <v>465.7</v>
      </c>
      <c r="P98" s="60">
        <f t="shared" si="24"/>
        <v>476.8</v>
      </c>
      <c r="Q98" s="60">
        <f t="shared" si="24"/>
        <v>468.90000000000003</v>
      </c>
      <c r="R98" s="60">
        <f t="shared" si="24"/>
        <v>469.4</v>
      </c>
      <c r="S98" s="60">
        <f t="shared" si="24"/>
        <v>497.4</v>
      </c>
      <c r="T98" s="60">
        <f t="shared" si="24"/>
        <v>486.2</v>
      </c>
      <c r="U98" s="60">
        <f t="shared" si="24"/>
        <v>484.2</v>
      </c>
      <c r="V98" s="60">
        <f t="shared" si="24"/>
        <v>495.2</v>
      </c>
      <c r="W98" s="60">
        <f t="shared" si="24"/>
        <v>516.5</v>
      </c>
      <c r="X98" s="60">
        <f t="shared" si="24"/>
        <v>454</v>
      </c>
      <c r="Y98" s="60">
        <f t="shared" si="24"/>
        <v>450</v>
      </c>
      <c r="Z98" s="60">
        <f t="shared" si="24"/>
        <v>420</v>
      </c>
      <c r="AA98" s="60">
        <f t="shared" si="24"/>
        <v>430.6</v>
      </c>
      <c r="AB98" s="60">
        <f t="shared" si="24"/>
        <v>486</v>
      </c>
      <c r="AC98" s="60">
        <f t="shared" si="24"/>
        <v>484.8</v>
      </c>
      <c r="AD98" s="60">
        <f t="shared" si="24"/>
        <v>491.5</v>
      </c>
      <c r="AE98" s="60">
        <f t="shared" si="24"/>
        <v>469.9</v>
      </c>
      <c r="AF98" s="60">
        <f t="shared" si="24"/>
        <v>487.3</v>
      </c>
      <c r="AG98" s="88"/>
      <c r="AH98" s="47">
        <f t="shared" si="14"/>
        <v>516.5</v>
      </c>
      <c r="AI98" s="48">
        <f t="shared" si="15"/>
        <v>293.29999999999995</v>
      </c>
    </row>
    <row r="99" spans="1:37" x14ac:dyDescent="0.25">
      <c r="A99" s="100" t="s">
        <v>103</v>
      </c>
      <c r="B99" s="101">
        <v>50.04</v>
      </c>
      <c r="C99" s="101">
        <v>50</v>
      </c>
      <c r="D99" s="101">
        <v>50.045000000000002</v>
      </c>
      <c r="E99" s="101">
        <v>50.009</v>
      </c>
      <c r="F99" s="101">
        <v>49.95</v>
      </c>
      <c r="G99" s="101">
        <v>50.006</v>
      </c>
      <c r="H99" s="101">
        <v>50.058</v>
      </c>
      <c r="I99" s="101">
        <v>49.98</v>
      </c>
      <c r="J99" s="101">
        <v>50.09</v>
      </c>
      <c r="K99" s="101">
        <v>49.914000000000001</v>
      </c>
      <c r="L99" s="101">
        <v>50.104999999999997</v>
      </c>
      <c r="M99" s="101">
        <v>50.04</v>
      </c>
      <c r="N99" s="101">
        <v>50.045000000000002</v>
      </c>
      <c r="O99" s="101">
        <v>50.027999999999999</v>
      </c>
      <c r="P99" s="101">
        <v>49.92</v>
      </c>
      <c r="Q99" s="101">
        <v>50.06</v>
      </c>
      <c r="R99" s="101">
        <v>50.094000000000001</v>
      </c>
      <c r="S99" s="101">
        <v>50.002000000000002</v>
      </c>
      <c r="T99" s="101">
        <v>49.94</v>
      </c>
      <c r="U99" s="101">
        <v>49.98</v>
      </c>
      <c r="V99" s="101">
        <v>49.881</v>
      </c>
      <c r="W99" s="101">
        <v>49.95</v>
      </c>
      <c r="X99" s="101">
        <v>50.146000000000001</v>
      </c>
      <c r="Y99" s="101">
        <v>50.078000000000003</v>
      </c>
      <c r="Z99" s="101">
        <v>49.999000000000002</v>
      </c>
      <c r="AA99" s="101">
        <v>50.07</v>
      </c>
      <c r="AB99" s="101">
        <v>49.951999999999998</v>
      </c>
      <c r="AC99" s="101">
        <v>50.027000000000001</v>
      </c>
      <c r="AD99" s="101">
        <v>49.968000000000004</v>
      </c>
      <c r="AE99" s="101">
        <v>50.100999999999999</v>
      </c>
      <c r="AF99" s="101">
        <v>49.991</v>
      </c>
      <c r="AG99" s="102"/>
      <c r="AH99" s="47">
        <f t="shared" si="14"/>
        <v>50.146000000000001</v>
      </c>
      <c r="AI99" s="48">
        <f t="shared" si="15"/>
        <v>49.881</v>
      </c>
    </row>
    <row r="100" spans="1:37" x14ac:dyDescent="0.25">
      <c r="A100" s="103" t="s">
        <v>104</v>
      </c>
      <c r="B100" s="65">
        <v>129</v>
      </c>
      <c r="C100" s="65">
        <v>129.4</v>
      </c>
      <c r="D100" s="65">
        <v>129.69999999999999</v>
      </c>
      <c r="E100" s="65">
        <v>128.80000000000001</v>
      </c>
      <c r="F100" s="65">
        <v>129.80000000000001</v>
      </c>
      <c r="G100" s="65">
        <v>127.5</v>
      </c>
      <c r="H100" s="65">
        <v>129.9</v>
      </c>
      <c r="I100" s="65">
        <v>127.6</v>
      </c>
      <c r="J100" s="65">
        <v>126.8</v>
      </c>
      <c r="K100" s="65">
        <v>126.8</v>
      </c>
      <c r="L100" s="65">
        <v>127.5</v>
      </c>
      <c r="M100" s="65">
        <v>126.1</v>
      </c>
      <c r="N100" s="65">
        <v>126.6</v>
      </c>
      <c r="O100" s="65">
        <v>124.9</v>
      </c>
      <c r="P100" s="65">
        <v>125.9</v>
      </c>
      <c r="Q100" s="65">
        <v>126.2</v>
      </c>
      <c r="R100" s="65">
        <v>126.1</v>
      </c>
      <c r="S100" s="65">
        <v>126</v>
      </c>
      <c r="T100" s="65">
        <v>128.4</v>
      </c>
      <c r="U100" s="65">
        <v>127.8</v>
      </c>
      <c r="V100" s="65">
        <v>128.5</v>
      </c>
      <c r="W100" s="65">
        <v>129</v>
      </c>
      <c r="X100" s="65">
        <v>129.19999999999999</v>
      </c>
      <c r="Y100" s="65">
        <v>127.9</v>
      </c>
      <c r="Z100" s="65">
        <v>128.6</v>
      </c>
      <c r="AA100" s="65">
        <v>129.9</v>
      </c>
      <c r="AB100" s="65">
        <v>131</v>
      </c>
      <c r="AC100" s="65">
        <v>131</v>
      </c>
      <c r="AD100" s="65">
        <v>130.6</v>
      </c>
      <c r="AE100" s="65">
        <v>129</v>
      </c>
      <c r="AF100" s="65">
        <v>129</v>
      </c>
      <c r="AG100" s="104"/>
      <c r="AH100" s="47">
        <f t="shared" si="14"/>
        <v>131</v>
      </c>
      <c r="AI100" s="48">
        <f t="shared" si="15"/>
        <v>124.9</v>
      </c>
    </row>
    <row r="101" spans="1:37" x14ac:dyDescent="0.25">
      <c r="A101" s="103" t="s">
        <v>105</v>
      </c>
      <c r="B101" s="65">
        <v>132.6</v>
      </c>
      <c r="C101" s="65">
        <v>133.1</v>
      </c>
      <c r="D101" s="65">
        <v>133.5</v>
      </c>
      <c r="E101" s="65">
        <v>132.5</v>
      </c>
      <c r="F101" s="65">
        <v>133.30000000000001</v>
      </c>
      <c r="G101" s="65">
        <v>131.6</v>
      </c>
      <c r="H101" s="65">
        <v>132.6</v>
      </c>
      <c r="I101" s="65">
        <v>130.5</v>
      </c>
      <c r="J101" s="65">
        <v>129.69999999999999</v>
      </c>
      <c r="K101" s="65">
        <v>129</v>
      </c>
      <c r="L101" s="65">
        <v>130</v>
      </c>
      <c r="M101" s="65">
        <v>128.5</v>
      </c>
      <c r="N101" s="65">
        <v>128.6</v>
      </c>
      <c r="O101" s="65">
        <v>127.4</v>
      </c>
      <c r="P101" s="65">
        <v>128.19999999999999</v>
      </c>
      <c r="Q101" s="65">
        <v>128.69999999999999</v>
      </c>
      <c r="R101" s="65">
        <v>128.9</v>
      </c>
      <c r="S101" s="65">
        <v>129.1</v>
      </c>
      <c r="T101" s="65">
        <v>130.5</v>
      </c>
      <c r="U101" s="65">
        <v>130</v>
      </c>
      <c r="V101" s="65">
        <v>131.9</v>
      </c>
      <c r="W101" s="65">
        <v>132.19999999999999</v>
      </c>
      <c r="X101" s="65">
        <v>131.69999999999999</v>
      </c>
      <c r="Y101" s="65">
        <v>131</v>
      </c>
      <c r="Z101" s="65">
        <v>131.30000000000001</v>
      </c>
      <c r="AA101" s="65">
        <v>132.30000000000001</v>
      </c>
      <c r="AB101" s="65">
        <v>134</v>
      </c>
      <c r="AC101" s="65">
        <v>134</v>
      </c>
      <c r="AD101" s="65">
        <v>132.9</v>
      </c>
      <c r="AE101" s="65">
        <v>131.80000000000001</v>
      </c>
      <c r="AF101" s="65">
        <v>132.19999999999999</v>
      </c>
      <c r="AG101" s="104"/>
      <c r="AH101" s="47">
        <f t="shared" si="14"/>
        <v>134</v>
      </c>
      <c r="AI101" s="48">
        <f t="shared" si="15"/>
        <v>127.4</v>
      </c>
    </row>
    <row r="102" spans="1:37" x14ac:dyDescent="0.25">
      <c r="A102" s="103" t="s">
        <v>106</v>
      </c>
      <c r="B102" s="65">
        <v>131</v>
      </c>
      <c r="C102" s="65">
        <v>131</v>
      </c>
      <c r="D102" s="65">
        <v>131.9</v>
      </c>
      <c r="E102" s="65">
        <v>132.69999999999999</v>
      </c>
      <c r="F102" s="65">
        <v>132.1</v>
      </c>
      <c r="G102" s="65">
        <v>130.5</v>
      </c>
      <c r="H102" s="65">
        <v>132.30000000000001</v>
      </c>
      <c r="I102" s="65">
        <v>130.4</v>
      </c>
      <c r="J102" s="65">
        <v>128.5</v>
      </c>
      <c r="K102" s="65">
        <v>128.19999999999999</v>
      </c>
      <c r="L102" s="65">
        <v>127.8</v>
      </c>
      <c r="M102" s="65">
        <v>128.19999999999999</v>
      </c>
      <c r="N102" s="65">
        <v>127.5</v>
      </c>
      <c r="O102" s="65">
        <v>128.80000000000001</v>
      </c>
      <c r="P102" s="65">
        <v>129</v>
      </c>
      <c r="Q102" s="65">
        <v>129.69999999999999</v>
      </c>
      <c r="R102" s="65">
        <v>128</v>
      </c>
      <c r="S102" s="65">
        <v>125.5</v>
      </c>
      <c r="T102" s="65">
        <v>128.69999999999999</v>
      </c>
      <c r="U102" s="65">
        <v>130</v>
      </c>
      <c r="V102" s="65">
        <v>129.69999999999999</v>
      </c>
      <c r="W102" s="65">
        <v>129</v>
      </c>
      <c r="X102" s="65">
        <v>130.6</v>
      </c>
      <c r="Y102" s="65">
        <v>126.3</v>
      </c>
      <c r="Z102" s="65">
        <v>130.80000000000001</v>
      </c>
      <c r="AA102" s="65">
        <v>131.19999999999999</v>
      </c>
      <c r="AB102" s="65">
        <v>129</v>
      </c>
      <c r="AC102" s="65">
        <v>129</v>
      </c>
      <c r="AD102" s="65">
        <v>129.1</v>
      </c>
      <c r="AE102" s="65">
        <v>130.80000000000001</v>
      </c>
      <c r="AF102" s="65">
        <v>132.30000000000001</v>
      </c>
      <c r="AG102" s="104"/>
      <c r="AH102" s="47">
        <f t="shared" si="14"/>
        <v>132.69999999999999</v>
      </c>
      <c r="AI102" s="48">
        <f t="shared" si="15"/>
        <v>125.5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4"/>
        <v>0</v>
      </c>
      <c r="AI103" s="48">
        <f t="shared" si="15"/>
        <v>0</v>
      </c>
    </row>
    <row r="104" spans="1:37" x14ac:dyDescent="0.25">
      <c r="A104" s="105" t="s">
        <v>108</v>
      </c>
      <c r="B104" s="106">
        <v>132</v>
      </c>
      <c r="C104" s="106">
        <v>132.5</v>
      </c>
      <c r="D104" s="106">
        <v>132.69999999999999</v>
      </c>
      <c r="E104" s="106">
        <v>134</v>
      </c>
      <c r="F104" s="106">
        <v>132.9</v>
      </c>
      <c r="G104" s="106">
        <v>131.6</v>
      </c>
      <c r="H104" s="106">
        <v>132.5</v>
      </c>
      <c r="I104" s="106">
        <v>130.9</v>
      </c>
      <c r="J104" s="106">
        <v>131.69999999999999</v>
      </c>
      <c r="K104" s="106">
        <v>131.30000000000001</v>
      </c>
      <c r="L104" s="106">
        <v>135.4</v>
      </c>
      <c r="M104" s="106">
        <v>133.80000000000001</v>
      </c>
      <c r="N104" s="106">
        <v>133.19999999999999</v>
      </c>
      <c r="O104" s="106">
        <v>130.80000000000001</v>
      </c>
      <c r="P104" s="106">
        <v>133</v>
      </c>
      <c r="Q104" s="106">
        <v>136.19999999999999</v>
      </c>
      <c r="R104" s="106">
        <v>135.30000000000001</v>
      </c>
      <c r="S104" s="106">
        <v>133</v>
      </c>
      <c r="T104" s="106">
        <v>133.5</v>
      </c>
      <c r="U104" s="106">
        <v>133</v>
      </c>
      <c r="V104" s="106">
        <v>132.69999999999999</v>
      </c>
      <c r="W104" s="106">
        <v>134.80000000000001</v>
      </c>
      <c r="X104" s="106">
        <v>133</v>
      </c>
      <c r="Y104" s="106">
        <v>133.19999999999999</v>
      </c>
      <c r="Z104" s="106">
        <v>133.30000000000001</v>
      </c>
      <c r="AA104" s="106">
        <v>135.69999999999999</v>
      </c>
      <c r="AB104" s="106">
        <v>137</v>
      </c>
      <c r="AC104" s="106">
        <v>137</v>
      </c>
      <c r="AD104" s="106">
        <v>136.19999999999999</v>
      </c>
      <c r="AE104" s="106">
        <v>132.6</v>
      </c>
      <c r="AF104" s="106">
        <v>131.19999999999999</v>
      </c>
      <c r="AG104" s="107"/>
      <c r="AH104" s="47">
        <f t="shared" si="14"/>
        <v>137</v>
      </c>
      <c r="AI104" s="48">
        <f t="shared" si="15"/>
        <v>130.80000000000001</v>
      </c>
    </row>
    <row r="105" spans="1:37" x14ac:dyDescent="0.25">
      <c r="A105" s="103" t="s">
        <v>109</v>
      </c>
      <c r="B105" s="65">
        <v>132</v>
      </c>
      <c r="C105" s="65">
        <v>134</v>
      </c>
      <c r="D105" s="65">
        <v>133.6</v>
      </c>
      <c r="E105" s="65">
        <v>134.1</v>
      </c>
      <c r="F105" s="65">
        <v>134.19999999999999</v>
      </c>
      <c r="G105" s="65">
        <v>134.4</v>
      </c>
      <c r="H105" s="65">
        <v>134</v>
      </c>
      <c r="I105" s="65">
        <v>130.6</v>
      </c>
      <c r="J105" s="65">
        <v>130.6</v>
      </c>
      <c r="K105" s="65">
        <v>128.19999999999999</v>
      </c>
      <c r="L105" s="65">
        <v>130</v>
      </c>
      <c r="M105" s="65">
        <v>129.9</v>
      </c>
      <c r="N105" s="65">
        <v>130.9</v>
      </c>
      <c r="O105" s="65">
        <v>128.5</v>
      </c>
      <c r="P105" s="65">
        <v>131</v>
      </c>
      <c r="Q105" s="65">
        <v>132.1</v>
      </c>
      <c r="R105" s="65">
        <v>135.9</v>
      </c>
      <c r="S105" s="65">
        <v>130.19999999999999</v>
      </c>
      <c r="T105" s="65">
        <v>128.80000000000001</v>
      </c>
      <c r="U105" s="65">
        <v>129.6</v>
      </c>
      <c r="V105" s="65">
        <v>130.30000000000001</v>
      </c>
      <c r="W105" s="65">
        <v>133</v>
      </c>
      <c r="X105" s="65">
        <v>131.80000000000001</v>
      </c>
      <c r="Y105" s="65">
        <v>130.5</v>
      </c>
      <c r="Z105" s="65">
        <v>131.19999999999999</v>
      </c>
      <c r="AA105" s="65">
        <v>134.9</v>
      </c>
      <c r="AB105" s="65">
        <v>134</v>
      </c>
      <c r="AC105" s="65">
        <v>134</v>
      </c>
      <c r="AD105" s="65">
        <v>135.19999999999999</v>
      </c>
      <c r="AE105" s="65">
        <v>132.6</v>
      </c>
      <c r="AF105" s="65">
        <v>132.4</v>
      </c>
      <c r="AG105" s="104"/>
      <c r="AH105" s="47">
        <f t="shared" si="14"/>
        <v>135.9</v>
      </c>
      <c r="AI105" s="48">
        <f t="shared" si="15"/>
        <v>128.19999999999999</v>
      </c>
    </row>
    <row r="106" spans="1:37" ht="15.75" thickBot="1" x14ac:dyDescent="0.3">
      <c r="A106" s="103" t="s">
        <v>110</v>
      </c>
      <c r="B106" s="92">
        <v>67</v>
      </c>
      <c r="C106" s="92">
        <v>67</v>
      </c>
      <c r="D106" s="92">
        <v>67.099999999999994</v>
      </c>
      <c r="E106" s="92">
        <v>66.7</v>
      </c>
      <c r="F106" s="92">
        <v>66.8</v>
      </c>
      <c r="G106" s="92">
        <v>66.099999999999994</v>
      </c>
      <c r="H106" s="92">
        <v>66.5</v>
      </c>
      <c r="I106" s="92">
        <v>65.3</v>
      </c>
      <c r="J106" s="92">
        <v>65.099999999999994</v>
      </c>
      <c r="K106" s="92">
        <v>64.900000000000006</v>
      </c>
      <c r="L106" s="92">
        <v>65.099999999999994</v>
      </c>
      <c r="M106" s="92">
        <v>64.3</v>
      </c>
      <c r="N106" s="92">
        <v>64.400000000000006</v>
      </c>
      <c r="O106" s="92">
        <v>63.7</v>
      </c>
      <c r="P106" s="92">
        <v>64.099999999999994</v>
      </c>
      <c r="Q106" s="92">
        <v>64.400000000000006</v>
      </c>
      <c r="R106" s="92">
        <v>64.7</v>
      </c>
      <c r="S106" s="92">
        <v>64.8</v>
      </c>
      <c r="T106" s="92">
        <v>64.8</v>
      </c>
      <c r="U106" s="92">
        <v>65.5</v>
      </c>
      <c r="V106" s="92">
        <v>66.2</v>
      </c>
      <c r="W106" s="92">
        <v>66.2</v>
      </c>
      <c r="X106" s="92">
        <v>66</v>
      </c>
      <c r="Y106" s="92">
        <v>65.400000000000006</v>
      </c>
      <c r="Z106" s="92">
        <v>65.8</v>
      </c>
      <c r="AA106" s="92">
        <v>66.2</v>
      </c>
      <c r="AB106" s="92">
        <v>67</v>
      </c>
      <c r="AC106" s="92">
        <v>67</v>
      </c>
      <c r="AD106" s="92">
        <v>66.7</v>
      </c>
      <c r="AE106" s="92">
        <v>66</v>
      </c>
      <c r="AF106" s="92">
        <v>66.3</v>
      </c>
      <c r="AG106" s="108"/>
      <c r="AH106" s="47">
        <f t="shared" si="14"/>
        <v>67.099999999999994</v>
      </c>
      <c r="AI106" s="48">
        <f t="shared" si="15"/>
        <v>63.7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4"/>
        <v>0</v>
      </c>
      <c r="AI107" s="48">
        <f t="shared" si="15"/>
        <v>0</v>
      </c>
    </row>
    <row r="108" spans="1:37" ht="15.75" thickBot="1" x14ac:dyDescent="0.3">
      <c r="A108" s="110" t="s">
        <v>112</v>
      </c>
      <c r="B108" s="111">
        <f t="shared" ref="B108:AF108" si="26">SUM(B18,B24,B27:B28,B56,B58:B59,B61,B63,B109:B113,B135,B141,B147,B156,B158,B170,B177,B180:B181,B188,B190,B192,B196:B198,B200:B202,B207,B213:B214,B216:B218,B226,B231)</f>
        <v>117.2</v>
      </c>
      <c r="C108" s="111">
        <f t="shared" si="26"/>
        <v>111.53999999999999</v>
      </c>
      <c r="D108" s="111">
        <f t="shared" si="26"/>
        <v>108.03999999999999</v>
      </c>
      <c r="E108" s="111">
        <f t="shared" si="26"/>
        <v>103.43999999999998</v>
      </c>
      <c r="F108" s="111">
        <f t="shared" si="26"/>
        <v>104.44</v>
      </c>
      <c r="G108" s="111">
        <f t="shared" si="26"/>
        <v>130.34</v>
      </c>
      <c r="H108" s="111">
        <f t="shared" si="26"/>
        <v>155.24</v>
      </c>
      <c r="I108" s="111">
        <f t="shared" si="26"/>
        <v>189.14000000000001</v>
      </c>
      <c r="J108" s="111">
        <f t="shared" si="26"/>
        <v>237.04</v>
      </c>
      <c r="K108" s="111">
        <f t="shared" si="26"/>
        <v>269.94</v>
      </c>
      <c r="L108" s="111">
        <f t="shared" si="26"/>
        <v>313.64</v>
      </c>
      <c r="M108" s="111">
        <f t="shared" ref="M108" si="27">SUM(M18,M24,M27:M28,M56,M58:M59,M61,M63,M109:M113,M135,M141,M147,M156,M158,M170,M177,M180:M181,M188,M190,M192,M196:M198,M200:M202,M207,M213:M214,M216:M218,M226,M231)</f>
        <v>330.54</v>
      </c>
      <c r="N108" s="111">
        <f t="shared" si="26"/>
        <v>296.44</v>
      </c>
      <c r="O108" s="111">
        <f t="shared" si="26"/>
        <v>289.74</v>
      </c>
      <c r="P108" s="111">
        <v>42</v>
      </c>
      <c r="Q108" s="111">
        <f t="shared" si="26"/>
        <v>257.60000000000002</v>
      </c>
      <c r="R108" s="111">
        <f t="shared" si="26"/>
        <v>255.7</v>
      </c>
      <c r="S108" s="111">
        <f t="shared" si="26"/>
        <v>272.10000000000002</v>
      </c>
      <c r="T108" s="111">
        <f t="shared" si="26"/>
        <v>300.7</v>
      </c>
      <c r="U108" s="111">
        <f t="shared" si="26"/>
        <v>268.3</v>
      </c>
      <c r="V108" s="111">
        <f t="shared" si="26"/>
        <v>197.7</v>
      </c>
      <c r="W108" s="111">
        <f t="shared" si="26"/>
        <v>225.3</v>
      </c>
      <c r="X108" s="111">
        <f t="shared" si="26"/>
        <v>229.5</v>
      </c>
      <c r="Y108" s="111">
        <f t="shared" si="26"/>
        <v>295.5</v>
      </c>
      <c r="Z108" s="111">
        <f t="shared" si="26"/>
        <v>306.5</v>
      </c>
      <c r="AA108" s="111">
        <f t="shared" si="26"/>
        <v>311.10000000000002</v>
      </c>
      <c r="AB108" s="111">
        <f t="shared" si="26"/>
        <v>285.7</v>
      </c>
      <c r="AC108" s="111">
        <f t="shared" si="26"/>
        <v>265.29999999999995</v>
      </c>
      <c r="AD108" s="111">
        <f t="shared" si="26"/>
        <v>258.20000000000005</v>
      </c>
      <c r="AE108" s="111">
        <f t="shared" si="26"/>
        <v>180.8</v>
      </c>
      <c r="AF108" s="111">
        <f t="shared" si="26"/>
        <v>144.20000000000002</v>
      </c>
      <c r="AG108" s="112"/>
      <c r="AH108" s="47">
        <f t="shared" si="14"/>
        <v>330.54</v>
      </c>
      <c r="AI108" s="48">
        <f t="shared" si="15"/>
        <v>42</v>
      </c>
    </row>
    <row r="109" spans="1:37" x14ac:dyDescent="0.25">
      <c r="A109" s="100" t="s">
        <v>113</v>
      </c>
      <c r="B109" s="113">
        <v>-20</v>
      </c>
      <c r="C109" s="113">
        <v>-17</v>
      </c>
      <c r="D109" s="113">
        <v>-23</v>
      </c>
      <c r="E109" s="113">
        <v>-22.9</v>
      </c>
      <c r="F109" s="113">
        <v>-25.7</v>
      </c>
      <c r="G109" s="113">
        <v>-19.600000000000001</v>
      </c>
      <c r="H109" s="113">
        <v>-20.2</v>
      </c>
      <c r="I109" s="113">
        <v>-19.5</v>
      </c>
      <c r="J109" s="113">
        <v>-4.7</v>
      </c>
      <c r="K109" s="113">
        <v>1.3</v>
      </c>
      <c r="L109" s="113">
        <v>12.6</v>
      </c>
      <c r="M109" s="113">
        <v>19.100000000000001</v>
      </c>
      <c r="N109" s="113">
        <v>12.4</v>
      </c>
      <c r="O109" s="113">
        <v>6.7</v>
      </c>
      <c r="P109" s="113">
        <v>5.5</v>
      </c>
      <c r="Q109" s="113">
        <v>6.1</v>
      </c>
      <c r="R109" s="113">
        <v>3.3</v>
      </c>
      <c r="S109" s="113">
        <v>1.8</v>
      </c>
      <c r="T109" s="113">
        <v>5.6</v>
      </c>
      <c r="U109" s="113">
        <v>-8</v>
      </c>
      <c r="V109" s="113">
        <v>-6.3</v>
      </c>
      <c r="W109" s="113">
        <v>-2.1</v>
      </c>
      <c r="X109" s="113">
        <v>-7.5</v>
      </c>
      <c r="Y109" s="113">
        <v>18.399999999999999</v>
      </c>
      <c r="Z109" s="113">
        <v>19</v>
      </c>
      <c r="AA109" s="113">
        <v>26.6</v>
      </c>
      <c r="AB109" s="113">
        <v>17.8</v>
      </c>
      <c r="AC109" s="113">
        <v>11.1</v>
      </c>
      <c r="AD109" s="113">
        <v>12.4</v>
      </c>
      <c r="AE109" s="113">
        <v>-19.399999999999999</v>
      </c>
      <c r="AF109" s="113">
        <v>-30.4</v>
      </c>
      <c r="AG109" s="114">
        <v>75</v>
      </c>
      <c r="AH109" s="47">
        <f t="shared" si="14"/>
        <v>26.6</v>
      </c>
      <c r="AI109" s="48">
        <f t="shared" si="15"/>
        <v>-30.4</v>
      </c>
    </row>
    <row r="110" spans="1:37" x14ac:dyDescent="0.25">
      <c r="A110" s="103" t="s">
        <v>114</v>
      </c>
      <c r="B110" s="115">
        <v>-21</v>
      </c>
      <c r="C110" s="115">
        <v>-17</v>
      </c>
      <c r="D110" s="115">
        <v>-26</v>
      </c>
      <c r="E110" s="115">
        <v>-26.5</v>
      </c>
      <c r="F110" s="115">
        <v>-30.5</v>
      </c>
      <c r="G110" s="115">
        <v>-22.2</v>
      </c>
      <c r="H110" s="115">
        <v>-21.1</v>
      </c>
      <c r="I110" s="115">
        <v>-22</v>
      </c>
      <c r="J110" s="115">
        <v>-3.6</v>
      </c>
      <c r="K110" s="115">
        <v>2.1</v>
      </c>
      <c r="L110" s="115">
        <v>11.8</v>
      </c>
      <c r="M110" s="115">
        <v>22.1</v>
      </c>
      <c r="N110" s="115">
        <v>11.5</v>
      </c>
      <c r="O110" s="115">
        <v>3.6</v>
      </c>
      <c r="P110" s="115">
        <v>7</v>
      </c>
      <c r="Q110" s="115">
        <v>9.3000000000000007</v>
      </c>
      <c r="R110" s="115">
        <v>4.3</v>
      </c>
      <c r="S110" s="115">
        <v>5.0999999999999996</v>
      </c>
      <c r="T110" s="115">
        <v>8.6999999999999993</v>
      </c>
      <c r="U110" s="115">
        <v>-12</v>
      </c>
      <c r="V110" s="115">
        <v>-11.1</v>
      </c>
      <c r="W110" s="115">
        <v>-9</v>
      </c>
      <c r="X110" s="115">
        <v>-3.1</v>
      </c>
      <c r="Y110" s="115">
        <v>20.8</v>
      </c>
      <c r="Z110" s="115">
        <v>20.7</v>
      </c>
      <c r="AA110" s="115">
        <v>32.200000000000003</v>
      </c>
      <c r="AB110" s="115">
        <v>19</v>
      </c>
      <c r="AC110" s="115">
        <v>8.4</v>
      </c>
      <c r="AD110" s="115">
        <v>13.7</v>
      </c>
      <c r="AE110" s="115">
        <v>-28.9</v>
      </c>
      <c r="AF110" s="115">
        <v>-40.5</v>
      </c>
      <c r="AG110" s="114">
        <v>240</v>
      </c>
      <c r="AH110" s="47">
        <f t="shared" si="14"/>
        <v>32.200000000000003</v>
      </c>
      <c r="AI110" s="48">
        <f t="shared" si="15"/>
        <v>-40.5</v>
      </c>
    </row>
    <row r="111" spans="1:37" x14ac:dyDescent="0.25">
      <c r="A111" s="103" t="s">
        <v>115</v>
      </c>
      <c r="B111" s="115">
        <v>-25</v>
      </c>
      <c r="C111" s="115">
        <v>-31</v>
      </c>
      <c r="D111" s="115">
        <v>-25</v>
      </c>
      <c r="E111" s="115">
        <v>-28</v>
      </c>
      <c r="F111" s="115">
        <v>-17.5</v>
      </c>
      <c r="G111" s="115">
        <v>-20</v>
      </c>
      <c r="H111" s="115">
        <v>8.1</v>
      </c>
      <c r="I111" s="115">
        <v>18</v>
      </c>
      <c r="J111" s="115">
        <v>25.5</v>
      </c>
      <c r="K111" s="115">
        <v>38</v>
      </c>
      <c r="L111" s="115">
        <v>60</v>
      </c>
      <c r="M111" s="115">
        <f>26.1+26.5</f>
        <v>52.6</v>
      </c>
      <c r="N111" s="115">
        <v>51.9</v>
      </c>
      <c r="O111" s="115">
        <v>42.1</v>
      </c>
      <c r="P111" s="115">
        <f>18.7+19.7</f>
        <v>38.4</v>
      </c>
      <c r="Q111" s="115">
        <v>17.5</v>
      </c>
      <c r="R111" s="115">
        <v>19.7</v>
      </c>
      <c r="S111" s="115">
        <f>13.3+11.8</f>
        <v>25.1</v>
      </c>
      <c r="T111" s="115">
        <v>23.8</v>
      </c>
      <c r="U111" s="115">
        <v>40</v>
      </c>
      <c r="V111" s="115">
        <f>17+14</f>
        <v>31</v>
      </c>
      <c r="W111" s="115">
        <f>19+18</f>
        <v>37</v>
      </c>
      <c r="X111" s="115">
        <f>14+11</f>
        <v>25</v>
      </c>
      <c r="Y111" s="115">
        <v>35</v>
      </c>
      <c r="Z111" s="115">
        <v>32</v>
      </c>
      <c r="AA111" s="115">
        <v>22</v>
      </c>
      <c r="AB111" s="115">
        <v>24</v>
      </c>
      <c r="AC111" s="115">
        <v>36</v>
      </c>
      <c r="AD111" s="115">
        <v>22.6</v>
      </c>
      <c r="AE111" s="115">
        <v>16.7</v>
      </c>
      <c r="AF111" s="115">
        <v>7.6</v>
      </c>
      <c r="AG111" s="114">
        <v>240</v>
      </c>
      <c r="AH111" s="47">
        <f t="shared" si="14"/>
        <v>60</v>
      </c>
      <c r="AI111" s="48">
        <f t="shared" si="15"/>
        <v>-31</v>
      </c>
    </row>
    <row r="112" spans="1:37" x14ac:dyDescent="0.25">
      <c r="A112" s="103" t="s">
        <v>116</v>
      </c>
      <c r="B112" s="115">
        <v>-2</v>
      </c>
      <c r="C112" s="115">
        <v>-2.6</v>
      </c>
      <c r="D112" s="115">
        <v>0.9</v>
      </c>
      <c r="E112" s="115">
        <v>-0.7</v>
      </c>
      <c r="F112" s="115">
        <v>-2.5</v>
      </c>
      <c r="G112" s="115">
        <v>1.6</v>
      </c>
      <c r="H112" s="115">
        <v>2.4</v>
      </c>
      <c r="I112" s="115">
        <v>6.9</v>
      </c>
      <c r="J112" s="115">
        <v>9.8000000000000007</v>
      </c>
      <c r="K112" s="115">
        <v>17.3</v>
      </c>
      <c r="L112" s="115">
        <v>33.4</v>
      </c>
      <c r="M112" s="115">
        <v>27.9</v>
      </c>
      <c r="N112" s="115">
        <v>29.2</v>
      </c>
      <c r="O112" s="115">
        <v>12.8</v>
      </c>
      <c r="P112" s="115">
        <v>11.6</v>
      </c>
      <c r="Q112" s="115">
        <v>9.3000000000000007</v>
      </c>
      <c r="R112" s="115">
        <v>8.4</v>
      </c>
      <c r="S112" s="115">
        <v>26.3</v>
      </c>
      <c r="T112" s="115">
        <v>49.3</v>
      </c>
      <c r="U112" s="115">
        <v>43</v>
      </c>
      <c r="V112" s="115">
        <v>15.7</v>
      </c>
      <c r="W112" s="115">
        <v>21.2</v>
      </c>
      <c r="X112" s="115">
        <v>28.8</v>
      </c>
      <c r="Y112" s="115">
        <v>28.5</v>
      </c>
      <c r="Z112" s="115">
        <v>28.5</v>
      </c>
      <c r="AA112" s="115">
        <v>18</v>
      </c>
      <c r="AB112" s="115">
        <v>15.4</v>
      </c>
      <c r="AC112" s="115">
        <v>16.2</v>
      </c>
      <c r="AD112" s="115">
        <v>11.9</v>
      </c>
      <c r="AE112" s="115">
        <v>10.8</v>
      </c>
      <c r="AF112" s="115">
        <v>9</v>
      </c>
      <c r="AG112" s="114">
        <v>60</v>
      </c>
      <c r="AH112" s="47">
        <f t="shared" si="14"/>
        <v>49.3</v>
      </c>
      <c r="AI112" s="48">
        <f t="shared" si="15"/>
        <v>-2.6</v>
      </c>
    </row>
    <row r="113" spans="1:37" x14ac:dyDescent="0.25">
      <c r="A113" s="116" t="s">
        <v>117</v>
      </c>
      <c r="B113" s="117">
        <v>83</v>
      </c>
      <c r="C113" s="117">
        <v>76</v>
      </c>
      <c r="D113" s="117">
        <v>78</v>
      </c>
      <c r="E113" s="117">
        <v>83.1</v>
      </c>
      <c r="F113" s="117">
        <v>81.2</v>
      </c>
      <c r="G113" s="117">
        <v>91.1</v>
      </c>
      <c r="H113" s="117">
        <v>87.5</v>
      </c>
      <c r="I113" s="117">
        <v>107.2</v>
      </c>
      <c r="J113" s="117">
        <v>110.8</v>
      </c>
      <c r="K113" s="117">
        <v>112</v>
      </c>
      <c r="L113" s="117">
        <v>96.6</v>
      </c>
      <c r="M113" s="117">
        <v>107.3</v>
      </c>
      <c r="N113" s="117">
        <v>87.9</v>
      </c>
      <c r="O113" s="117">
        <v>121</v>
      </c>
      <c r="P113" s="117">
        <v>112</v>
      </c>
      <c r="Q113" s="117">
        <v>109.8</v>
      </c>
      <c r="R113" s="117">
        <v>114.7</v>
      </c>
      <c r="S113" s="117">
        <v>108.5</v>
      </c>
      <c r="T113" s="117">
        <v>108</v>
      </c>
      <c r="U113" s="117">
        <v>100</v>
      </c>
      <c r="V113" s="117">
        <v>63.1</v>
      </c>
      <c r="W113" s="117">
        <v>82.9</v>
      </c>
      <c r="X113" s="117">
        <v>91</v>
      </c>
      <c r="Y113" s="117">
        <v>97.5</v>
      </c>
      <c r="Z113" s="117">
        <v>111</v>
      </c>
      <c r="AA113" s="117">
        <v>117</v>
      </c>
      <c r="AB113" s="117">
        <v>113.3</v>
      </c>
      <c r="AC113" s="117">
        <v>97.4</v>
      </c>
      <c r="AD113" s="117">
        <v>101.4</v>
      </c>
      <c r="AE113" s="117">
        <v>105.4</v>
      </c>
      <c r="AF113" s="117">
        <v>102.3</v>
      </c>
      <c r="AG113" s="118">
        <v>120</v>
      </c>
      <c r="AH113" s="47">
        <f t="shared" si="14"/>
        <v>121</v>
      </c>
      <c r="AI113" s="48">
        <f t="shared" si="15"/>
        <v>63.1</v>
      </c>
    </row>
    <row r="114" spans="1:37" x14ac:dyDescent="0.25">
      <c r="A114" s="116" t="s">
        <v>118</v>
      </c>
      <c r="B114" s="117">
        <v>88</v>
      </c>
      <c r="C114" s="117">
        <v>79</v>
      </c>
      <c r="D114" s="117">
        <v>84</v>
      </c>
      <c r="E114" s="117">
        <v>92.5</v>
      </c>
      <c r="F114" s="117">
        <v>84.9</v>
      </c>
      <c r="G114" s="117">
        <v>97.5</v>
      </c>
      <c r="H114" s="117">
        <v>77.099999999999994</v>
      </c>
      <c r="I114" s="117">
        <v>91.6</v>
      </c>
      <c r="J114" s="117">
        <v>89.5</v>
      </c>
      <c r="K114" s="117">
        <v>87.5</v>
      </c>
      <c r="L114" s="117">
        <v>95.7</v>
      </c>
      <c r="M114" s="117">
        <v>88.8</v>
      </c>
      <c r="N114" s="117">
        <v>96.3</v>
      </c>
      <c r="O114" s="117">
        <v>95.4</v>
      </c>
      <c r="P114" s="117">
        <v>89.5</v>
      </c>
      <c r="Q114" s="117">
        <v>90.6</v>
      </c>
      <c r="R114" s="117">
        <v>92.4</v>
      </c>
      <c r="S114" s="117">
        <v>85.6</v>
      </c>
      <c r="T114" s="117">
        <v>68</v>
      </c>
      <c r="U114" s="117">
        <v>85</v>
      </c>
      <c r="V114" s="117">
        <v>88.8</v>
      </c>
      <c r="W114" s="117">
        <v>89.9</v>
      </c>
      <c r="X114" s="117">
        <v>71.3</v>
      </c>
      <c r="Y114" s="117">
        <v>83.4</v>
      </c>
      <c r="Z114" s="117">
        <v>78</v>
      </c>
      <c r="AA114" s="117">
        <v>71.8</v>
      </c>
      <c r="AB114" s="117">
        <v>74.8</v>
      </c>
      <c r="AC114" s="117">
        <v>85.4</v>
      </c>
      <c r="AD114" s="117">
        <v>76.599999999999994</v>
      </c>
      <c r="AE114" s="117">
        <v>87.9</v>
      </c>
      <c r="AF114" s="117">
        <v>86.7</v>
      </c>
      <c r="AG114" s="118"/>
      <c r="AH114" s="47">
        <f t="shared" si="14"/>
        <v>97.5</v>
      </c>
      <c r="AI114" s="48">
        <f t="shared" si="15"/>
        <v>68</v>
      </c>
    </row>
    <row r="115" spans="1:37" x14ac:dyDescent="0.25">
      <c r="A115" s="116" t="s">
        <v>119</v>
      </c>
      <c r="B115" s="117"/>
      <c r="C115" s="117">
        <v>43</v>
      </c>
      <c r="D115" s="117"/>
      <c r="E115" s="117"/>
      <c r="F115" s="117">
        <v>49</v>
      </c>
      <c r="G115" s="117"/>
      <c r="H115" s="117">
        <v>49.3</v>
      </c>
      <c r="I115" s="117"/>
      <c r="J115" s="117"/>
      <c r="K115" s="117">
        <v>43.4</v>
      </c>
      <c r="L115" s="117"/>
      <c r="M115" s="117"/>
      <c r="N115" s="117"/>
      <c r="O115" s="117">
        <v>40.200000000000003</v>
      </c>
      <c r="P115" s="117"/>
      <c r="Q115" s="117"/>
      <c r="R115" s="117">
        <v>45.9</v>
      </c>
      <c r="S115" s="117"/>
      <c r="T115" s="117"/>
      <c r="U115" s="117">
        <v>39</v>
      </c>
      <c r="V115" s="117"/>
      <c r="W115" s="117"/>
      <c r="X115" s="117">
        <v>42.2</v>
      </c>
      <c r="Y115" s="117"/>
      <c r="Z115" s="117"/>
      <c r="AA115" s="117"/>
      <c r="AB115" s="117"/>
      <c r="AC115" s="117"/>
      <c r="AD115" s="117"/>
      <c r="AE115" s="117"/>
      <c r="AF115" s="117"/>
      <c r="AG115" s="119"/>
      <c r="AH115" s="47">
        <f t="shared" si="14"/>
        <v>49.3</v>
      </c>
      <c r="AI115" s="48">
        <f t="shared" si="15"/>
        <v>39</v>
      </c>
    </row>
    <row r="116" spans="1:37" x14ac:dyDescent="0.25">
      <c r="A116" s="120" t="s">
        <v>120</v>
      </c>
      <c r="B116" s="106">
        <v>5</v>
      </c>
      <c r="C116" s="106">
        <v>3.2</v>
      </c>
      <c r="D116" s="106">
        <v>4</v>
      </c>
      <c r="E116" s="106">
        <v>5.7</v>
      </c>
      <c r="F116" s="106">
        <v>11.9</v>
      </c>
      <c r="G116" s="106">
        <v>8.9</v>
      </c>
      <c r="H116" s="106">
        <v>-0.8</v>
      </c>
      <c r="I116" s="106">
        <v>-18.100000000000001</v>
      </c>
      <c r="J116" s="106">
        <v>-35.200000000000003</v>
      </c>
      <c r="K116" s="106">
        <v>-42.3</v>
      </c>
      <c r="L116" s="106">
        <v>-52</v>
      </c>
      <c r="M116" s="106">
        <v>-46.6</v>
      </c>
      <c r="N116" s="106">
        <v>-53.2</v>
      </c>
      <c r="O116" s="106">
        <v>-39.200000000000003</v>
      </c>
      <c r="P116" s="106">
        <v>35.6</v>
      </c>
      <c r="Q116" s="106">
        <v>-26.9</v>
      </c>
      <c r="R116" s="106">
        <v>-23.8</v>
      </c>
      <c r="S116" s="106">
        <v>-60.6</v>
      </c>
      <c r="T116" s="106">
        <v>-30.3</v>
      </c>
      <c r="U116" s="106">
        <v>-35</v>
      </c>
      <c r="V116" s="106">
        <v>-43</v>
      </c>
      <c r="W116" s="106">
        <v>-50.1</v>
      </c>
      <c r="X116" s="106">
        <v>-60</v>
      </c>
      <c r="Y116" s="106">
        <v>76.7</v>
      </c>
      <c r="Z116" s="106">
        <v>-56</v>
      </c>
      <c r="AA116" s="106">
        <v>-50</v>
      </c>
      <c r="AB116" s="106">
        <v>-31.2</v>
      </c>
      <c r="AC116" s="106">
        <v>-25</v>
      </c>
      <c r="AD116" s="106">
        <v>-24.5</v>
      </c>
      <c r="AE116" s="106">
        <v>-8.6999999999999993</v>
      </c>
      <c r="AF116" s="106">
        <v>1.3</v>
      </c>
      <c r="AG116" s="119"/>
      <c r="AH116" s="47">
        <f t="shared" si="14"/>
        <v>76.7</v>
      </c>
      <c r="AI116" s="48">
        <f t="shared" si="15"/>
        <v>-60.6</v>
      </c>
    </row>
    <row r="117" spans="1:37" ht="15.75" thickBot="1" x14ac:dyDescent="0.3">
      <c r="A117" s="120" t="s">
        <v>121</v>
      </c>
      <c r="B117" s="106">
        <v>56</v>
      </c>
      <c r="C117" s="106">
        <v>60</v>
      </c>
      <c r="D117" s="106">
        <v>57</v>
      </c>
      <c r="E117" s="106">
        <v>53.5</v>
      </c>
      <c r="F117" s="106">
        <v>56.4</v>
      </c>
      <c r="G117" s="106">
        <v>52.4</v>
      </c>
      <c r="H117" s="106">
        <v>55.7</v>
      </c>
      <c r="I117" s="106">
        <v>59.9</v>
      </c>
      <c r="J117" s="106">
        <v>68.599999999999994</v>
      </c>
      <c r="K117" s="106">
        <v>70.900000000000006</v>
      </c>
      <c r="L117" s="106">
        <v>70.900000000000006</v>
      </c>
      <c r="M117" s="106">
        <v>74.7</v>
      </c>
      <c r="N117" s="106">
        <v>76.7</v>
      </c>
      <c r="O117" s="106">
        <v>68.400000000000006</v>
      </c>
      <c r="P117" s="106">
        <v>71.5</v>
      </c>
      <c r="Q117" s="106">
        <v>92.1</v>
      </c>
      <c r="R117" s="106">
        <v>92.9</v>
      </c>
      <c r="S117" s="106">
        <v>102.2</v>
      </c>
      <c r="T117" s="106">
        <v>86</v>
      </c>
      <c r="U117" s="106">
        <v>82</v>
      </c>
      <c r="V117" s="106">
        <v>84.6</v>
      </c>
      <c r="W117" s="106">
        <v>91.7</v>
      </c>
      <c r="X117" s="106">
        <v>90.7</v>
      </c>
      <c r="Y117" s="106"/>
      <c r="Z117" s="106">
        <v>95</v>
      </c>
      <c r="AA117" s="106">
        <v>88.5</v>
      </c>
      <c r="AB117" s="106">
        <v>81.599999999999994</v>
      </c>
      <c r="AC117" s="106">
        <v>91.3</v>
      </c>
      <c r="AD117" s="106">
        <v>94.4</v>
      </c>
      <c r="AE117" s="106">
        <v>76.099999999999994</v>
      </c>
      <c r="AF117" s="106">
        <v>66.400000000000006</v>
      </c>
      <c r="AG117" s="119"/>
      <c r="AH117" s="47">
        <f t="shared" si="14"/>
        <v>102.2</v>
      </c>
      <c r="AI117" s="48">
        <f t="shared" si="15"/>
        <v>52.4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75" t="s">
        <v>251</v>
      </c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8">SUM(B119:B223)</f>
        <v>0</v>
      </c>
      <c r="C224" s="136">
        <f t="shared" si="28"/>
        <v>0</v>
      </c>
      <c r="D224" s="136">
        <f t="shared" si="28"/>
        <v>0</v>
      </c>
      <c r="E224" s="136">
        <f t="shared" si="28"/>
        <v>0</v>
      </c>
      <c r="F224" s="136">
        <f t="shared" si="28"/>
        <v>0</v>
      </c>
      <c r="G224" s="136">
        <f t="shared" si="28"/>
        <v>0</v>
      </c>
      <c r="H224" s="136">
        <f t="shared" si="28"/>
        <v>0</v>
      </c>
      <c r="I224" s="136">
        <f t="shared" si="28"/>
        <v>0</v>
      </c>
      <c r="J224" s="136">
        <f t="shared" si="28"/>
        <v>0</v>
      </c>
      <c r="K224" s="136">
        <f t="shared" si="28"/>
        <v>0</v>
      </c>
      <c r="L224" s="136">
        <f t="shared" si="28"/>
        <v>0</v>
      </c>
      <c r="M224" s="136">
        <f t="shared" si="28"/>
        <v>0</v>
      </c>
      <c r="N224" s="136">
        <f t="shared" si="28"/>
        <v>0</v>
      </c>
      <c r="O224" s="136">
        <f t="shared" si="28"/>
        <v>0</v>
      </c>
      <c r="P224" s="136">
        <f t="shared" si="28"/>
        <v>0</v>
      </c>
      <c r="Q224" s="136">
        <f t="shared" si="28"/>
        <v>0</v>
      </c>
      <c r="R224" s="136">
        <f t="shared" si="28"/>
        <v>0</v>
      </c>
      <c r="S224" s="136">
        <f t="shared" si="28"/>
        <v>0</v>
      </c>
      <c r="T224" s="136">
        <f t="shared" si="28"/>
        <v>0</v>
      </c>
      <c r="U224" s="136">
        <f t="shared" si="28"/>
        <v>0</v>
      </c>
      <c r="V224" s="136">
        <f t="shared" si="28"/>
        <v>0</v>
      </c>
      <c r="W224" s="136">
        <f t="shared" si="28"/>
        <v>0</v>
      </c>
      <c r="X224" s="136">
        <f t="shared" si="28"/>
        <v>0</v>
      </c>
      <c r="Y224" s="136">
        <f t="shared" si="28"/>
        <v>0</v>
      </c>
      <c r="Z224" s="136">
        <f t="shared" si="28"/>
        <v>0</v>
      </c>
      <c r="AA224" s="136">
        <f t="shared" si="28"/>
        <v>0</v>
      </c>
      <c r="AB224" s="136">
        <f t="shared" si="28"/>
        <v>0</v>
      </c>
      <c r="AC224" s="136">
        <f t="shared" si="28"/>
        <v>0</v>
      </c>
      <c r="AD224" s="136">
        <f t="shared" si="28"/>
        <v>0</v>
      </c>
      <c r="AE224" s="136">
        <f t="shared" si="28"/>
        <v>0</v>
      </c>
      <c r="AF224" s="137">
        <f t="shared" si="28"/>
        <v>0</v>
      </c>
      <c r="AG224" s="138">
        <f t="shared" si="28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9">AF226</f>
        <v>0</v>
      </c>
      <c r="C226" s="140">
        <v>0.3</v>
      </c>
      <c r="D226" s="140">
        <f t="shared" ref="D226:P231" si="30">C226</f>
        <v>0.3</v>
      </c>
      <c r="E226" s="140">
        <f t="shared" si="30"/>
        <v>0.3</v>
      </c>
      <c r="F226" s="140">
        <f t="shared" si="30"/>
        <v>0.3</v>
      </c>
      <c r="G226" s="140">
        <f t="shared" si="30"/>
        <v>0.3</v>
      </c>
      <c r="H226" s="140">
        <f t="shared" si="30"/>
        <v>0.3</v>
      </c>
      <c r="I226" s="140">
        <f t="shared" si="30"/>
        <v>0.3</v>
      </c>
      <c r="J226" s="140">
        <f t="shared" si="30"/>
        <v>0.3</v>
      </c>
      <c r="K226" s="140">
        <f t="shared" si="30"/>
        <v>0.3</v>
      </c>
      <c r="L226" s="140">
        <f t="shared" si="30"/>
        <v>0.3</v>
      </c>
      <c r="M226" s="140">
        <f t="shared" si="30"/>
        <v>0.3</v>
      </c>
      <c r="N226" s="140">
        <f t="shared" si="30"/>
        <v>0.3</v>
      </c>
      <c r="O226" s="140">
        <f t="shared" si="30"/>
        <v>0.3</v>
      </c>
      <c r="P226" s="140">
        <f t="shared" si="30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9"/>
        <v>0</v>
      </c>
      <c r="C227" s="128">
        <v>0.4</v>
      </c>
      <c r="D227" s="128">
        <f t="shared" si="30"/>
        <v>0.4</v>
      </c>
      <c r="E227" s="128">
        <f t="shared" si="30"/>
        <v>0.4</v>
      </c>
      <c r="F227" s="128">
        <f t="shared" si="30"/>
        <v>0.4</v>
      </c>
      <c r="G227" s="128">
        <f t="shared" si="30"/>
        <v>0.4</v>
      </c>
      <c r="H227" s="128">
        <f t="shared" si="30"/>
        <v>0.4</v>
      </c>
      <c r="I227" s="128">
        <f t="shared" si="30"/>
        <v>0.4</v>
      </c>
      <c r="J227" s="128">
        <f t="shared" si="30"/>
        <v>0.4</v>
      </c>
      <c r="K227" s="128">
        <f t="shared" si="30"/>
        <v>0.4</v>
      </c>
      <c r="L227" s="128">
        <f t="shared" si="30"/>
        <v>0.4</v>
      </c>
      <c r="M227" s="128">
        <f t="shared" si="30"/>
        <v>0.4</v>
      </c>
      <c r="N227" s="128">
        <f t="shared" si="30"/>
        <v>0.4</v>
      </c>
      <c r="O227" s="128">
        <f t="shared" si="30"/>
        <v>0.4</v>
      </c>
      <c r="P227" s="128">
        <f t="shared" si="30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9"/>
        <v>0</v>
      </c>
      <c r="C228" s="128">
        <v>1.5</v>
      </c>
      <c r="D228" s="128">
        <f t="shared" si="30"/>
        <v>1.5</v>
      </c>
      <c r="E228" s="128">
        <f t="shared" si="30"/>
        <v>1.5</v>
      </c>
      <c r="F228" s="128">
        <f t="shared" si="30"/>
        <v>1.5</v>
      </c>
      <c r="G228" s="128">
        <f t="shared" si="30"/>
        <v>1.5</v>
      </c>
      <c r="H228" s="128">
        <f t="shared" si="30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30"/>
        <v>1.5</v>
      </c>
      <c r="K228" s="128">
        <f t="shared" ca="1" si="30"/>
        <v>1.5</v>
      </c>
      <c r="L228" s="128">
        <f t="shared" ca="1" si="30"/>
        <v>1.5</v>
      </c>
      <c r="M228" s="128">
        <f t="shared" ca="1" si="30"/>
        <v>1.5</v>
      </c>
      <c r="N228" s="128">
        <f t="shared" ca="1" si="30"/>
        <v>1.5</v>
      </c>
      <c r="O228" s="128">
        <f t="shared" ca="1" si="30"/>
        <v>1.5</v>
      </c>
      <c r="P228" s="128">
        <f t="shared" ca="1" si="30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9"/>
        <v>0</v>
      </c>
      <c r="C229" s="128">
        <v>0.3</v>
      </c>
      <c r="D229" s="128">
        <f t="shared" si="30"/>
        <v>0.3</v>
      </c>
      <c r="E229" s="128">
        <f t="shared" si="30"/>
        <v>0.3</v>
      </c>
      <c r="F229" s="128">
        <f t="shared" si="30"/>
        <v>0.3</v>
      </c>
      <c r="G229" s="128">
        <f t="shared" si="30"/>
        <v>0.3</v>
      </c>
      <c r="H229" s="128">
        <f t="shared" si="30"/>
        <v>0.3</v>
      </c>
      <c r="I229" s="128">
        <f t="shared" si="30"/>
        <v>0.3</v>
      </c>
      <c r="J229" s="128">
        <f t="shared" si="30"/>
        <v>0.3</v>
      </c>
      <c r="K229" s="128">
        <f t="shared" si="30"/>
        <v>0.3</v>
      </c>
      <c r="L229" s="128">
        <f t="shared" si="30"/>
        <v>0.3</v>
      </c>
      <c r="M229" s="128">
        <f t="shared" si="30"/>
        <v>0.3</v>
      </c>
      <c r="N229" s="128">
        <f t="shared" si="30"/>
        <v>0.3</v>
      </c>
      <c r="O229" s="128">
        <f t="shared" si="30"/>
        <v>0.3</v>
      </c>
      <c r="P229" s="128">
        <f t="shared" si="30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9"/>
        <v>0</v>
      </c>
      <c r="C230" s="128">
        <v>0.4</v>
      </c>
      <c r="D230" s="128">
        <f t="shared" si="30"/>
        <v>0.4</v>
      </c>
      <c r="E230" s="128">
        <f t="shared" si="30"/>
        <v>0.4</v>
      </c>
      <c r="F230" s="128">
        <f t="shared" si="30"/>
        <v>0.4</v>
      </c>
      <c r="G230" s="128">
        <f t="shared" si="30"/>
        <v>0.4</v>
      </c>
      <c r="H230" s="128">
        <f t="shared" si="30"/>
        <v>0.4</v>
      </c>
      <c r="I230" s="128">
        <f t="shared" si="30"/>
        <v>0.4</v>
      </c>
      <c r="J230" s="128">
        <f t="shared" si="30"/>
        <v>0.4</v>
      </c>
      <c r="K230" s="128">
        <f t="shared" si="30"/>
        <v>0.4</v>
      </c>
      <c r="L230" s="128">
        <f t="shared" si="30"/>
        <v>0.4</v>
      </c>
      <c r="M230" s="128">
        <f t="shared" si="30"/>
        <v>0.4</v>
      </c>
      <c r="N230" s="128">
        <f t="shared" si="30"/>
        <v>0.4</v>
      </c>
      <c r="O230" s="128">
        <f t="shared" si="30"/>
        <v>0.4</v>
      </c>
      <c r="P230" s="128">
        <f t="shared" si="3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9"/>
        <v>0</v>
      </c>
      <c r="C231" s="132">
        <v>0.64</v>
      </c>
      <c r="D231" s="132">
        <f t="shared" si="30"/>
        <v>0.64</v>
      </c>
      <c r="E231" s="132">
        <f t="shared" si="30"/>
        <v>0.64</v>
      </c>
      <c r="F231" s="132">
        <f t="shared" si="30"/>
        <v>0.64</v>
      </c>
      <c r="G231" s="132">
        <f t="shared" si="30"/>
        <v>0.64</v>
      </c>
      <c r="H231" s="132">
        <f t="shared" si="30"/>
        <v>0.64</v>
      </c>
      <c r="I231" s="132">
        <f t="shared" si="30"/>
        <v>0.64</v>
      </c>
      <c r="J231" s="132">
        <f t="shared" si="30"/>
        <v>0.64</v>
      </c>
      <c r="K231" s="132">
        <f t="shared" si="30"/>
        <v>0.64</v>
      </c>
      <c r="L231" s="132">
        <f t="shared" si="30"/>
        <v>0.64</v>
      </c>
      <c r="M231" s="132">
        <f t="shared" si="30"/>
        <v>0.64</v>
      </c>
      <c r="N231" s="132">
        <f t="shared" si="30"/>
        <v>0.64</v>
      </c>
      <c r="O231" s="132">
        <f t="shared" si="30"/>
        <v>0.64</v>
      </c>
      <c r="P231" s="132">
        <f t="shared" si="30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1">SUM(B226:B231)</f>
        <v>0</v>
      </c>
      <c r="C232" s="136">
        <f t="shared" si="31"/>
        <v>3.54</v>
      </c>
      <c r="D232" s="136">
        <f t="shared" si="31"/>
        <v>3.54</v>
      </c>
      <c r="E232" s="136">
        <f t="shared" si="31"/>
        <v>3.54</v>
      </c>
      <c r="F232" s="136">
        <f t="shared" si="31"/>
        <v>3.54</v>
      </c>
      <c r="G232" s="136">
        <f t="shared" si="31"/>
        <v>3.54</v>
      </c>
      <c r="H232" s="136">
        <f t="shared" si="31"/>
        <v>3.54</v>
      </c>
      <c r="I232" s="136">
        <f t="shared" ca="1" si="31"/>
        <v>3.54</v>
      </c>
      <c r="J232" s="136">
        <f t="shared" ca="1" si="31"/>
        <v>3.54</v>
      </c>
      <c r="K232" s="136">
        <f t="shared" ca="1" si="31"/>
        <v>3.54</v>
      </c>
      <c r="L232" s="136">
        <f t="shared" ca="1" si="31"/>
        <v>3.54</v>
      </c>
      <c r="M232" s="136">
        <f t="shared" ca="1" si="31"/>
        <v>3.54</v>
      </c>
      <c r="N232" s="136">
        <f t="shared" ca="1" si="31"/>
        <v>3.54</v>
      </c>
      <c r="O232" s="136">
        <f t="shared" ca="1" si="31"/>
        <v>3.54</v>
      </c>
      <c r="P232" s="136">
        <f t="shared" ca="1" si="31"/>
        <v>3.54</v>
      </c>
      <c r="Q232" s="136">
        <f t="shared" si="31"/>
        <v>0</v>
      </c>
      <c r="R232" s="136">
        <f t="shared" si="31"/>
        <v>0</v>
      </c>
      <c r="S232" s="136">
        <f t="shared" si="31"/>
        <v>0</v>
      </c>
      <c r="T232" s="136">
        <f t="shared" si="31"/>
        <v>0</v>
      </c>
      <c r="U232" s="136">
        <f t="shared" si="31"/>
        <v>0</v>
      </c>
      <c r="V232" s="136">
        <f t="shared" si="31"/>
        <v>0</v>
      </c>
      <c r="W232" s="136">
        <f t="shared" si="31"/>
        <v>0</v>
      </c>
      <c r="X232" s="136">
        <f t="shared" si="31"/>
        <v>0</v>
      </c>
      <c r="Y232" s="136">
        <f t="shared" si="31"/>
        <v>0</v>
      </c>
      <c r="Z232" s="136">
        <f t="shared" si="31"/>
        <v>0</v>
      </c>
      <c r="AA232" s="136">
        <f t="shared" si="31"/>
        <v>0</v>
      </c>
      <c r="AB232" s="136">
        <f t="shared" si="31"/>
        <v>0</v>
      </c>
      <c r="AC232" s="136">
        <f t="shared" si="31"/>
        <v>0</v>
      </c>
      <c r="AD232" s="136">
        <f t="shared" si="31"/>
        <v>0</v>
      </c>
      <c r="AE232" s="136">
        <f t="shared" si="31"/>
        <v>0</v>
      </c>
      <c r="AF232" s="136">
        <f t="shared" si="31"/>
        <v>0</v>
      </c>
      <c r="AG232" s="145">
        <f t="shared" si="31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1442.34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14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2079/11/14)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2079/11/14)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2">B89</f>
        <v>1002.84</v>
      </c>
      <c r="U246" s="170">
        <f t="shared" si="32"/>
        <v>931.84</v>
      </c>
      <c r="V246" s="170">
        <f t="shared" si="32"/>
        <v>977.24</v>
      </c>
      <c r="W246" s="170">
        <f t="shared" si="32"/>
        <v>959.24</v>
      </c>
      <c r="X246" s="170">
        <f t="shared" si="32"/>
        <v>956.54</v>
      </c>
      <c r="Y246" s="170">
        <f t="shared" si="32"/>
        <v>1016.84</v>
      </c>
      <c r="Z246" s="170">
        <f t="shared" si="32"/>
        <v>1097.24</v>
      </c>
      <c r="AA246" s="170">
        <f t="shared" si="32"/>
        <v>1179.8399999999999</v>
      </c>
      <c r="AB246" s="170">
        <f t="shared" si="32"/>
        <v>1254.6399999999999</v>
      </c>
      <c r="AC246" s="170">
        <f t="shared" si="32"/>
        <v>1352.2399999999998</v>
      </c>
      <c r="AD246" s="170">
        <f t="shared" si="32"/>
        <v>1433.7400000000002</v>
      </c>
      <c r="AE246" s="170">
        <f t="shared" si="32"/>
        <v>1442.34</v>
      </c>
      <c r="AF246" s="170">
        <f t="shared" si="32"/>
        <v>1380.1399999999999</v>
      </c>
      <c r="AG246" s="170">
        <f t="shared" si="32"/>
        <v>1350.24</v>
      </c>
      <c r="AH246" s="170">
        <f t="shared" si="32"/>
        <v>1313.44</v>
      </c>
      <c r="AI246" s="170">
        <f t="shared" si="32"/>
        <v>1239.54</v>
      </c>
      <c r="AJ246" s="170">
        <f t="shared" si="32"/>
        <v>1244.94</v>
      </c>
      <c r="AK246" s="170">
        <f t="shared" si="32"/>
        <v>1262.8400000000001</v>
      </c>
      <c r="AL246" s="170">
        <f t="shared" si="32"/>
        <v>1284.6400000000001</v>
      </c>
      <c r="AM246" s="170">
        <f t="shared" si="32"/>
        <v>1298.8399999999999</v>
      </c>
      <c r="AN246" s="170">
        <f t="shared" si="32"/>
        <v>1243.44</v>
      </c>
      <c r="AO246" s="170">
        <f t="shared" si="32"/>
        <v>1241.6399999999999</v>
      </c>
      <c r="AP246" s="170">
        <f t="shared" si="32"/>
        <v>1463.3400000000001</v>
      </c>
      <c r="AQ246" s="170">
        <f t="shared" si="32"/>
        <v>1555.3400000000001</v>
      </c>
      <c r="AR246" s="170">
        <f t="shared" si="32"/>
        <v>1539.14</v>
      </c>
      <c r="AS246" s="170">
        <f t="shared" si="32"/>
        <v>1515.74</v>
      </c>
      <c r="AT246" s="170">
        <f t="shared" si="32"/>
        <v>1417.44</v>
      </c>
      <c r="AU246" s="170">
        <f t="shared" si="32"/>
        <v>1367.04</v>
      </c>
      <c r="AV246" s="170">
        <f t="shared" si="32"/>
        <v>1339.34</v>
      </c>
      <c r="AW246" s="170">
        <f t="shared" si="32"/>
        <v>1129.94</v>
      </c>
      <c r="AX246" s="170">
        <f t="shared" si="32"/>
        <v>1076.1400000000001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3">C231</f>
        <v>0.64</v>
      </c>
      <c r="C267" s="173">
        <f t="shared" si="33"/>
        <v>0.64</v>
      </c>
      <c r="D267" s="173">
        <f t="shared" si="33"/>
        <v>0.64</v>
      </c>
      <c r="E267" s="173">
        <f t="shared" si="33"/>
        <v>0.64</v>
      </c>
      <c r="F267" s="173">
        <f t="shared" si="33"/>
        <v>0.64</v>
      </c>
      <c r="G267" s="173">
        <f t="shared" si="33"/>
        <v>0.64</v>
      </c>
      <c r="H267" s="173">
        <f t="shared" si="33"/>
        <v>0.64</v>
      </c>
      <c r="I267" s="173">
        <f t="shared" si="33"/>
        <v>0.64</v>
      </c>
      <c r="J267" s="173">
        <f t="shared" si="33"/>
        <v>0.64</v>
      </c>
      <c r="K267" s="173">
        <f t="shared" si="33"/>
        <v>0.64</v>
      </c>
      <c r="L267" s="173">
        <f t="shared" si="33"/>
        <v>0.64</v>
      </c>
      <c r="M267" s="173">
        <f t="shared" si="33"/>
        <v>0.64</v>
      </c>
      <c r="N267" s="173">
        <f t="shared" si="33"/>
        <v>0.64</v>
      </c>
      <c r="O267" s="173">
        <f t="shared" si="33"/>
        <v>0.64</v>
      </c>
      <c r="P267" s="173">
        <f t="shared" si="33"/>
        <v>0</v>
      </c>
      <c r="Q267" s="173">
        <f t="shared" si="33"/>
        <v>0</v>
      </c>
      <c r="R267" s="173">
        <f t="shared" si="33"/>
        <v>0</v>
      </c>
      <c r="S267" s="173">
        <f t="shared" si="33"/>
        <v>0</v>
      </c>
      <c r="T267" s="173">
        <f t="shared" si="33"/>
        <v>0</v>
      </c>
      <c r="U267" s="173">
        <f t="shared" si="33"/>
        <v>0</v>
      </c>
      <c r="V267" s="173">
        <f t="shared" si="33"/>
        <v>0</v>
      </c>
      <c r="W267" s="173">
        <f t="shared" si="33"/>
        <v>0</v>
      </c>
      <c r="X267" s="173">
        <f t="shared" si="33"/>
        <v>0</v>
      </c>
      <c r="Y267" s="173">
        <f t="shared" si="33"/>
        <v>0</v>
      </c>
      <c r="Z267" s="173">
        <f t="shared" si="33"/>
        <v>0</v>
      </c>
      <c r="AA267" s="173">
        <f t="shared" si="33"/>
        <v>0</v>
      </c>
      <c r="AB267" s="173">
        <f t="shared" si="33"/>
        <v>0</v>
      </c>
      <c r="AC267" s="173">
        <f t="shared" si="33"/>
        <v>0</v>
      </c>
      <c r="AD267" s="173">
        <f t="shared" si="33"/>
        <v>0</v>
      </c>
      <c r="AE267" s="173">
        <f t="shared" si="33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4">IF(B235&lt;100,"",B235-520)</f>
        <v/>
      </c>
      <c r="C268" s="174" t="str">
        <f t="shared" si="34"/>
        <v/>
      </c>
      <c r="D268" s="174" t="str">
        <f t="shared" si="34"/>
        <v/>
      </c>
      <c r="E268" s="174" t="str">
        <f t="shared" si="34"/>
        <v/>
      </c>
      <c r="F268" s="174" t="str">
        <f t="shared" si="34"/>
        <v/>
      </c>
      <c r="G268" s="174" t="str">
        <f t="shared" si="34"/>
        <v/>
      </c>
      <c r="H268" s="174" t="str">
        <f t="shared" si="34"/>
        <v/>
      </c>
      <c r="I268" s="174" t="str">
        <f t="shared" si="34"/>
        <v/>
      </c>
      <c r="J268" s="174" t="str">
        <f t="shared" si="34"/>
        <v/>
      </c>
      <c r="K268" s="174" t="str">
        <f t="shared" si="34"/>
        <v/>
      </c>
      <c r="L268" s="174" t="str">
        <f t="shared" si="34"/>
        <v/>
      </c>
      <c r="M268" s="174" t="str">
        <f t="shared" si="34"/>
        <v/>
      </c>
      <c r="N268" s="174" t="str">
        <f t="shared" si="34"/>
        <v/>
      </c>
      <c r="O268" s="174" t="str">
        <f t="shared" si="34"/>
        <v/>
      </c>
      <c r="P268" s="174" t="str">
        <f t="shared" si="34"/>
        <v/>
      </c>
      <c r="Q268" s="174" t="str">
        <f t="shared" si="34"/>
        <v/>
      </c>
      <c r="R268" s="174" t="str">
        <f t="shared" si="34"/>
        <v/>
      </c>
      <c r="S268" s="174" t="str">
        <f t="shared" si="34"/>
        <v/>
      </c>
      <c r="T268" s="174" t="str">
        <f t="shared" si="34"/>
        <v/>
      </c>
      <c r="U268" s="174" t="str">
        <f t="shared" si="34"/>
        <v/>
      </c>
      <c r="V268" s="174" t="str">
        <f t="shared" si="34"/>
        <v/>
      </c>
      <c r="W268" s="174" t="str">
        <f t="shared" si="34"/>
        <v/>
      </c>
      <c r="X268" s="174" t="str">
        <f t="shared" si="34"/>
        <v/>
      </c>
      <c r="Y268" s="174" t="str">
        <f t="shared" si="34"/>
        <v/>
      </c>
      <c r="Z268" s="174" t="str">
        <f t="shared" si="34"/>
        <v/>
      </c>
      <c r="AA268" s="174" t="str">
        <f t="shared" si="34"/>
        <v/>
      </c>
      <c r="AB268" s="174" t="str">
        <f t="shared" si="34"/>
        <v/>
      </c>
      <c r="AC268" s="174" t="str">
        <f t="shared" si="34"/>
        <v/>
      </c>
      <c r="AD268" s="174" t="str">
        <f t="shared" si="34"/>
        <v/>
      </c>
      <c r="AE268" s="174" t="str">
        <f t="shared" si="34"/>
        <v/>
      </c>
      <c r="AF268" s="174" t="str">
        <f t="shared" si="34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5">IF(B236&lt;100,"",B236-620)</f>
        <v/>
      </c>
      <c r="C269" s="174" t="str">
        <f t="shared" si="35"/>
        <v/>
      </c>
      <c r="D269" s="174" t="str">
        <f t="shared" si="35"/>
        <v/>
      </c>
      <c r="E269" s="174" t="str">
        <f t="shared" si="35"/>
        <v/>
      </c>
      <c r="F269" s="174" t="str">
        <f t="shared" si="35"/>
        <v/>
      </c>
      <c r="G269" s="174" t="str">
        <f t="shared" si="35"/>
        <v/>
      </c>
      <c r="H269" s="174" t="str">
        <f t="shared" si="35"/>
        <v/>
      </c>
      <c r="I269" s="174" t="str">
        <f t="shared" si="35"/>
        <v/>
      </c>
      <c r="J269" s="174" t="str">
        <f t="shared" si="35"/>
        <v/>
      </c>
      <c r="K269" s="174" t="str">
        <f t="shared" si="35"/>
        <v/>
      </c>
      <c r="L269" s="174" t="str">
        <f t="shared" si="35"/>
        <v/>
      </c>
      <c r="M269" s="174" t="str">
        <f t="shared" si="35"/>
        <v/>
      </c>
      <c r="N269" s="174" t="str">
        <f t="shared" si="35"/>
        <v/>
      </c>
      <c r="O269" s="174" t="str">
        <f t="shared" si="35"/>
        <v/>
      </c>
      <c r="P269" s="174" t="str">
        <f t="shared" si="35"/>
        <v/>
      </c>
      <c r="Q269" s="174" t="str">
        <f t="shared" si="35"/>
        <v/>
      </c>
      <c r="R269" s="174" t="str">
        <f t="shared" si="35"/>
        <v/>
      </c>
      <c r="S269" s="174" t="str">
        <f t="shared" si="35"/>
        <v/>
      </c>
      <c r="T269" s="174" t="str">
        <f t="shared" si="35"/>
        <v/>
      </c>
      <c r="U269" s="174" t="str">
        <f t="shared" si="35"/>
        <v/>
      </c>
      <c r="V269" s="174" t="str">
        <f t="shared" si="35"/>
        <v/>
      </c>
      <c r="W269" s="174" t="str">
        <f t="shared" si="35"/>
        <v/>
      </c>
      <c r="X269" s="174" t="str">
        <f t="shared" si="35"/>
        <v/>
      </c>
      <c r="Y269" s="174" t="str">
        <f t="shared" si="35"/>
        <v/>
      </c>
      <c r="Z269" s="174" t="str">
        <f t="shared" si="35"/>
        <v/>
      </c>
      <c r="AA269" s="174" t="str">
        <f t="shared" si="35"/>
        <v/>
      </c>
      <c r="AB269" s="174" t="str">
        <f t="shared" si="35"/>
        <v/>
      </c>
      <c r="AC269" s="174" t="str">
        <f t="shared" si="35"/>
        <v/>
      </c>
      <c r="AD269" s="174" t="str">
        <f t="shared" si="35"/>
        <v/>
      </c>
      <c r="AE269" s="174" t="str">
        <f t="shared" si="35"/>
        <v/>
      </c>
      <c r="AF269" s="174" t="str">
        <f t="shared" si="35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6">IF(B237&lt;100,"",B237-330)</f>
        <v/>
      </c>
      <c r="C270" s="174" t="str">
        <f t="shared" si="36"/>
        <v/>
      </c>
      <c r="D270" s="174" t="str">
        <f t="shared" si="36"/>
        <v/>
      </c>
      <c r="E270" s="174" t="str">
        <f t="shared" si="36"/>
        <v/>
      </c>
      <c r="F270" s="174" t="str">
        <f t="shared" si="36"/>
        <v/>
      </c>
      <c r="G270" s="174" t="str">
        <f t="shared" si="36"/>
        <v/>
      </c>
      <c r="H270" s="174" t="str">
        <f t="shared" si="36"/>
        <v/>
      </c>
      <c r="I270" s="174" t="str">
        <f t="shared" si="36"/>
        <v/>
      </c>
      <c r="J270" s="174" t="str">
        <f t="shared" si="36"/>
        <v/>
      </c>
      <c r="K270" s="174" t="str">
        <f t="shared" si="36"/>
        <v/>
      </c>
      <c r="L270" s="174" t="str">
        <f t="shared" si="36"/>
        <v/>
      </c>
      <c r="M270" s="174" t="str">
        <f t="shared" si="36"/>
        <v/>
      </c>
      <c r="N270" s="174" t="str">
        <f t="shared" si="36"/>
        <v/>
      </c>
      <c r="O270" s="174" t="str">
        <f t="shared" si="36"/>
        <v/>
      </c>
      <c r="P270" s="174" t="str">
        <f t="shared" si="36"/>
        <v/>
      </c>
      <c r="Q270" s="174" t="str">
        <f t="shared" si="36"/>
        <v/>
      </c>
      <c r="R270" s="174" t="str">
        <f t="shared" si="36"/>
        <v/>
      </c>
      <c r="S270" s="174" t="str">
        <f t="shared" si="36"/>
        <v/>
      </c>
      <c r="T270" s="174" t="str">
        <f t="shared" si="36"/>
        <v/>
      </c>
      <c r="U270" s="174" t="str">
        <f t="shared" si="36"/>
        <v/>
      </c>
      <c r="V270" s="174" t="str">
        <f t="shared" si="36"/>
        <v/>
      </c>
      <c r="W270" s="174" t="str">
        <f t="shared" si="36"/>
        <v/>
      </c>
      <c r="X270" s="174" t="str">
        <f t="shared" si="36"/>
        <v/>
      </c>
      <c r="Y270" s="174" t="str">
        <f t="shared" si="36"/>
        <v/>
      </c>
      <c r="Z270" s="174" t="str">
        <f t="shared" si="36"/>
        <v/>
      </c>
      <c r="AA270" s="174" t="str">
        <f t="shared" si="36"/>
        <v/>
      </c>
      <c r="AB270" s="174" t="str">
        <f t="shared" si="36"/>
        <v/>
      </c>
      <c r="AC270" s="174" t="str">
        <f t="shared" si="36"/>
        <v/>
      </c>
      <c r="AD270" s="174" t="str">
        <f t="shared" si="36"/>
        <v/>
      </c>
      <c r="AE270" s="174" t="str">
        <f t="shared" si="36"/>
        <v/>
      </c>
      <c r="AF270" s="174" t="str">
        <f t="shared" si="36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7">IF(B238&lt;100,"",B238-1500)</f>
        <v/>
      </c>
      <c r="C271" s="174" t="str">
        <f t="shared" si="37"/>
        <v/>
      </c>
      <c r="D271" s="174" t="str">
        <f t="shared" si="37"/>
        <v/>
      </c>
      <c r="E271" s="174" t="str">
        <f t="shared" si="37"/>
        <v/>
      </c>
      <c r="F271" s="174" t="str">
        <f t="shared" si="37"/>
        <v/>
      </c>
      <c r="G271" s="174" t="str">
        <f t="shared" si="37"/>
        <v/>
      </c>
      <c r="H271" s="174" t="str">
        <f t="shared" si="37"/>
        <v/>
      </c>
      <c r="I271" s="174" t="str">
        <f t="shared" si="37"/>
        <v/>
      </c>
      <c r="J271" s="174" t="str">
        <f t="shared" si="37"/>
        <v/>
      </c>
      <c r="K271" s="174" t="str">
        <f t="shared" si="37"/>
        <v/>
      </c>
      <c r="L271" s="174" t="str">
        <f t="shared" si="37"/>
        <v/>
      </c>
      <c r="M271" s="174" t="str">
        <f t="shared" si="37"/>
        <v/>
      </c>
      <c r="N271" s="174" t="str">
        <f t="shared" si="37"/>
        <v/>
      </c>
      <c r="O271" s="174" t="str">
        <f t="shared" si="37"/>
        <v/>
      </c>
      <c r="P271" s="174" t="str">
        <f t="shared" si="37"/>
        <v/>
      </c>
      <c r="Q271" s="174" t="str">
        <f t="shared" si="37"/>
        <v/>
      </c>
      <c r="R271" s="174" t="str">
        <f t="shared" si="37"/>
        <v/>
      </c>
      <c r="S271" s="174" t="str">
        <f t="shared" si="37"/>
        <v/>
      </c>
      <c r="T271" s="174" t="str">
        <f t="shared" si="37"/>
        <v/>
      </c>
      <c r="U271" s="174" t="str">
        <f t="shared" si="37"/>
        <v/>
      </c>
      <c r="V271" s="174" t="str">
        <f t="shared" si="37"/>
        <v/>
      </c>
      <c r="W271" s="174" t="str">
        <f t="shared" si="37"/>
        <v/>
      </c>
      <c r="X271" s="174" t="str">
        <f t="shared" si="37"/>
        <v/>
      </c>
      <c r="Y271" s="174" t="str">
        <f t="shared" si="37"/>
        <v/>
      </c>
      <c r="Z271" s="174" t="str">
        <f t="shared" si="37"/>
        <v/>
      </c>
      <c r="AA271" s="174" t="str">
        <f t="shared" si="37"/>
        <v/>
      </c>
      <c r="AB271" s="174" t="str">
        <f t="shared" si="37"/>
        <v/>
      </c>
      <c r="AC271" s="174" t="str">
        <f t="shared" si="37"/>
        <v/>
      </c>
      <c r="AD271" s="174" t="str">
        <f t="shared" si="37"/>
        <v/>
      </c>
      <c r="AE271" s="174" t="str">
        <f t="shared" si="37"/>
        <v/>
      </c>
      <c r="AF271" s="174" t="str">
        <f t="shared" si="37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W67:X69 AB12:AF15 AB17:AF32 AB34:AF43 AB45:AF45">
    <cfRule type="expression" dxfId="7593" priority="302">
      <formula>B$9&gt;=20/24</formula>
    </cfRule>
    <cfRule type="expression" dxfId="7592" priority="303">
      <formula>AND(B$9&gt;=14/24,B$9&lt;20/24)</formula>
    </cfRule>
    <cfRule type="expression" dxfId="7591" priority="304">
      <formula>AND(B$9&gt;=8/24,B$9&lt;14/24)</formula>
    </cfRule>
    <cfRule type="expression" dxfId="7590" priority="305">
      <formula>B$9&lt;8/24</formula>
    </cfRule>
  </conditionalFormatting>
  <conditionalFormatting sqref="AL4:AL6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AG65 U67:X69 AB12:AF15 AB17:AF32 AB34:AF43 AB45:AF45">
    <cfRule type="expression" dxfId="7589" priority="300">
      <formula>U12&gt;$AG12</formula>
    </cfRule>
  </conditionalFormatting>
  <conditionalFormatting sqref="A99:A109 A59:A86 A95:A97 A202:A232 A46:A57 A118:A189 A41:A42 A91:A93 A88:A89 A111:A113 A38:A39 A19:A20 A12:A15 A22:A32 A17 A34:A36">
    <cfRule type="expression" dxfId="7588" priority="299">
      <formula>$AH12=0</formula>
    </cfRule>
  </conditionalFormatting>
  <conditionalFormatting sqref="A114">
    <cfRule type="expression" dxfId="7587" priority="298">
      <formula>$AH114=0</formula>
    </cfRule>
  </conditionalFormatting>
  <conditionalFormatting sqref="AL42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586" priority="296">
      <formula>$AH45=0</formula>
    </cfRule>
  </conditionalFormatting>
  <conditionalFormatting sqref="A98">
    <cfRule type="expression" dxfId="7585" priority="295">
      <formula>$AH98=0</formula>
    </cfRule>
  </conditionalFormatting>
  <conditionalFormatting sqref="A18">
    <cfRule type="expression" dxfId="7584" priority="294">
      <formula>$AH18=0</formula>
    </cfRule>
  </conditionalFormatting>
  <conditionalFormatting sqref="A196:A201">
    <cfRule type="expression" dxfId="7583" priority="293">
      <formula>$AH196=0</formula>
    </cfRule>
  </conditionalFormatting>
  <conditionalFormatting sqref="A190:A195">
    <cfRule type="expression" dxfId="7582" priority="292">
      <formula>$AH190=0</formula>
    </cfRule>
  </conditionalFormatting>
  <conditionalFormatting sqref="A58">
    <cfRule type="expression" dxfId="7581" priority="291">
      <formula>$AH58=0</formula>
    </cfRule>
  </conditionalFormatting>
  <conditionalFormatting sqref="A94">
    <cfRule type="expression" dxfId="7580" priority="290">
      <formula>$AH94=0</formula>
    </cfRule>
  </conditionalFormatting>
  <conditionalFormatting sqref="AD99:AF99 E99:X99">
    <cfRule type="expression" dxfId="7579" priority="286">
      <formula>E$9&gt;=20/24</formula>
    </cfRule>
    <cfRule type="expression" dxfId="7578" priority="287">
      <formula>AND(E$9&gt;=14/24,E$9&lt;20/24)</formula>
    </cfRule>
    <cfRule type="expression" dxfId="7577" priority="288">
      <formula>AND(E$9&gt;=8/24,E$9&lt;14/24)</formula>
    </cfRule>
    <cfRule type="expression" dxfId="7576" priority="289">
      <formula>E$9&lt;8/24</formula>
    </cfRule>
  </conditionalFormatting>
  <conditionalFormatting sqref="AL43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B8 M8 S8 AB8 U67:X69">
    <cfRule type="expression" dxfId="7575" priority="308">
      <formula>C$9&gt;=20/24</formula>
    </cfRule>
    <cfRule type="expression" dxfId="7574" priority="309">
      <formula>AND(C$9&gt;=14/24,C$9&lt;20/24)</formula>
    </cfRule>
    <cfRule type="expression" dxfId="7573" priority="310">
      <formula>AND(C$9&gt;=8/24,C$9&lt;14/24)</formula>
    </cfRule>
    <cfRule type="expression" dxfId="7572" priority="311">
      <formula>C$9&lt;8/24</formula>
    </cfRule>
  </conditionalFormatting>
  <conditionalFormatting sqref="A233">
    <cfRule type="expression" dxfId="7571" priority="312">
      <formula>$AH233=0</formula>
    </cfRule>
  </conditionalFormatting>
  <conditionalFormatting sqref="AG245">
    <cfRule type="expression" dxfId="7570" priority="313">
      <formula>B$9&gt;=20/24</formula>
    </cfRule>
    <cfRule type="expression" dxfId="7569" priority="314">
      <formula>AND(B$9&gt;=14/24,B$9&lt;20/24)</formula>
    </cfRule>
    <cfRule type="expression" dxfId="7568" priority="315">
      <formula>AND(B$9&gt;=8/24,B$9&lt;14/24)</formula>
    </cfRule>
    <cfRule type="expression" dxfId="7567" priority="316">
      <formula>B$9&lt;8/24</formula>
    </cfRule>
  </conditionalFormatting>
  <conditionalFormatting sqref="S8">
    <cfRule type="expression" dxfId="7566" priority="281">
      <formula>U$9&gt;=20/24</formula>
    </cfRule>
    <cfRule type="expression" dxfId="7565" priority="282">
      <formula>AND(U$9&gt;=14/24,U$9&lt;20/24)</formula>
    </cfRule>
    <cfRule type="expression" dxfId="7564" priority="283">
      <formula>AND(U$9&gt;=8/24,U$9&lt;14/24)</formula>
    </cfRule>
    <cfRule type="expression" dxfId="7563" priority="284">
      <formula>U$9&lt;8/24</formula>
    </cfRule>
  </conditionalFormatting>
  <conditionalFormatting sqref="AB8">
    <cfRule type="expression" dxfId="7562" priority="277">
      <formula>AD$9&gt;=20/24</formula>
    </cfRule>
    <cfRule type="expression" dxfId="7561" priority="278">
      <formula>AND(AD$9&gt;=14/24,AD$9&lt;20/24)</formula>
    </cfRule>
    <cfRule type="expression" dxfId="7560" priority="279">
      <formula>AND(AD$9&gt;=8/24,AD$9&lt;14/24)</formula>
    </cfRule>
    <cfRule type="expression" dxfId="7559" priority="280">
      <formula>AD$9&lt;8/24</formula>
    </cfRule>
  </conditionalFormatting>
  <conditionalFormatting sqref="AH245:AX245">
    <cfRule type="expression" dxfId="7558" priority="317">
      <formula>AG$9&gt;=20/24</formula>
    </cfRule>
    <cfRule type="expression" dxfId="7557" priority="318">
      <formula>AND(AG$9&gt;=14/24,AG$9&lt;20/24)</formula>
    </cfRule>
    <cfRule type="expression" dxfId="7556" priority="319">
      <formula>AND(AG$9&gt;=8/24,AG$9&lt;14/24)</formula>
    </cfRule>
    <cfRule type="expression" dxfId="7555" priority="320">
      <formula>AG$9&lt;8/24</formula>
    </cfRule>
  </conditionalFormatting>
  <conditionalFormatting sqref="T245">
    <cfRule type="expression" dxfId="7554" priority="321">
      <formula>AX$9&gt;=20/24</formula>
    </cfRule>
    <cfRule type="expression" dxfId="7553" priority="322">
      <formula>AND(AX$9&gt;=14/24,AX$9&lt;20/24)</formula>
    </cfRule>
    <cfRule type="expression" dxfId="7552" priority="323">
      <formula>AND(AX$9&gt;=8/24,AX$9&lt;14/24)</formula>
    </cfRule>
    <cfRule type="expression" dxfId="7551" priority="324">
      <formula>AX$9&lt;8/24</formula>
    </cfRule>
  </conditionalFormatting>
  <conditionalFormatting sqref="A115:A116">
    <cfRule type="expression" dxfId="7550" priority="276">
      <formula>$AH115=0</formula>
    </cfRule>
  </conditionalFormatting>
  <conditionalFormatting sqref="N54:Q58 E71:X71 AB54:AF57 AB71:AF71">
    <cfRule type="expression" dxfId="7549" priority="272">
      <formula>E$9&gt;=20/24</formula>
    </cfRule>
    <cfRule type="expression" dxfId="7548" priority="273">
      <formula>AND(E$9&gt;=14/24,E$9&lt;20/24)</formula>
    </cfRule>
    <cfRule type="expression" dxfId="7547" priority="274">
      <formula>AND(E$9&gt;=8/24,E$9&lt;14/24)</formula>
    </cfRule>
    <cfRule type="expression" dxfId="7546" priority="275">
      <formula>E$9&lt;8/24</formula>
    </cfRule>
  </conditionalFormatting>
  <conditionalFormatting sqref="N53:Q53 AB53:AF53">
    <cfRule type="expression" dxfId="7545" priority="268">
      <formula>N$9&gt;=20/24</formula>
    </cfRule>
    <cfRule type="expression" dxfId="7544" priority="269">
      <formula>AND(N$9&gt;=14/24,N$9&lt;20/24)</formula>
    </cfRule>
    <cfRule type="expression" dxfId="7543" priority="270">
      <formula>AND(N$9&gt;=8/24,N$9&lt;14/24)</formula>
    </cfRule>
    <cfRule type="expression" dxfId="7542" priority="271">
      <formula>N$9&lt;8/24</formula>
    </cfRule>
  </conditionalFormatting>
  <conditionalFormatting sqref="N53:Q58 AB53:AF57">
    <cfRule type="expression" dxfId="7541" priority="267">
      <formula>N53&gt;$AG53</formula>
    </cfRule>
  </conditionalFormatting>
  <conditionalFormatting sqref="N100:X106 X47 X96:AF96 AD100:AF106 D86:X86 E72:X73 Z86:AF86 Z47:AF47 AA67:AF69 AB72:AF74">
    <cfRule type="expression" dxfId="7540" priority="263">
      <formula>D$9&gt;=20/24</formula>
    </cfRule>
    <cfRule type="expression" dxfId="7539" priority="264">
      <formula>AND(D$9&gt;=14/24,D$9&lt;20/24)</formula>
    </cfRule>
    <cfRule type="expression" dxfId="7538" priority="265">
      <formula>AND(D$9&gt;=8/24,D$9&lt;14/24)</formula>
    </cfRule>
    <cfRule type="expression" dxfId="7537" priority="266">
      <formula>D$9&lt;8/24</formula>
    </cfRule>
  </conditionalFormatting>
  <conditionalFormatting sqref="X47 Z47:AF47 AA67:AF69">
    <cfRule type="expression" dxfId="7536" priority="262">
      <formula>X47&gt;$AG47</formula>
    </cfRule>
  </conditionalFormatting>
  <conditionalFormatting sqref="R53:X58">
    <cfRule type="expression" dxfId="7535" priority="258">
      <formula>R$9&gt;=20/24</formula>
    </cfRule>
    <cfRule type="expression" dxfId="7534" priority="259">
      <formula>AND(R$9&gt;=14/24,R$9&lt;20/24)</formula>
    </cfRule>
    <cfRule type="expression" dxfId="7533" priority="260">
      <formula>AND(R$9&gt;=8/24,R$9&lt;14/24)</formula>
    </cfRule>
    <cfRule type="expression" dxfId="7532" priority="261">
      <formula>R$9&lt;8/24</formula>
    </cfRule>
  </conditionalFormatting>
  <conditionalFormatting sqref="R53:X58">
    <cfRule type="expression" dxfId="7531" priority="257">
      <formula>R53&gt;$AG53</formula>
    </cfRule>
  </conditionalFormatting>
  <conditionalFormatting sqref="K88:X88 C97:AF97 Z88:AF88">
    <cfRule type="expression" dxfId="7530" priority="253">
      <formula>C$9&gt;=20/24</formula>
    </cfRule>
    <cfRule type="expression" dxfId="7529" priority="254">
      <formula>AND(C$9&gt;=14/24,C$9&lt;20/24)</formula>
    </cfRule>
    <cfRule type="expression" dxfId="7528" priority="255">
      <formula>AND(C$9&gt;=8/24,C$9&lt;14/24)</formula>
    </cfRule>
    <cfRule type="expression" dxfId="7527" priority="256">
      <formula>C$9&lt;8/24</formula>
    </cfRule>
  </conditionalFormatting>
  <conditionalFormatting sqref="T47:W47">
    <cfRule type="expression" dxfId="7526" priority="249">
      <formula>T$9&gt;=20/24</formula>
    </cfRule>
    <cfRule type="expression" dxfId="7525" priority="250">
      <formula>AND(T$9&gt;=14/24,T$9&lt;20/24)</formula>
    </cfRule>
    <cfRule type="expression" dxfId="7524" priority="251">
      <formula>AND(T$9&gt;=8/24,T$9&lt;14/24)</formula>
    </cfRule>
    <cfRule type="expression" dxfId="7523" priority="252">
      <formula>T$9&lt;8/24</formula>
    </cfRule>
  </conditionalFormatting>
  <conditionalFormatting sqref="T47:W47">
    <cfRule type="expression" dxfId="7522" priority="248">
      <formula>T47&gt;$AG47</formula>
    </cfRule>
  </conditionalFormatting>
  <conditionalFormatting sqref="E54:M55 AB46:AF46">
    <cfRule type="expression" dxfId="7521" priority="244">
      <formula>E$9&gt;=20/24</formula>
    </cfRule>
    <cfRule type="expression" dxfId="7520" priority="245">
      <formula>AND(E$9&gt;=14/24,E$9&lt;20/24)</formula>
    </cfRule>
    <cfRule type="expression" dxfId="7519" priority="246">
      <formula>AND(E$9&gt;=8/24,E$9&lt;14/24)</formula>
    </cfRule>
    <cfRule type="expression" dxfId="7518" priority="247">
      <formula>E$9&lt;8/24</formula>
    </cfRule>
  </conditionalFormatting>
  <conditionalFormatting sqref="E53:M53">
    <cfRule type="expression" dxfId="7517" priority="240">
      <formula>E$9&gt;=20/24</formula>
    </cfRule>
    <cfRule type="expression" dxfId="7516" priority="241">
      <formula>AND(E$9&gt;=14/24,E$9&lt;20/24)</formula>
    </cfRule>
    <cfRule type="expression" dxfId="7515" priority="242">
      <formula>AND(E$9&gt;=8/24,E$9&lt;14/24)</formula>
    </cfRule>
    <cfRule type="expression" dxfId="7514" priority="243">
      <formula>E$9&lt;8/24</formula>
    </cfRule>
  </conditionalFormatting>
  <conditionalFormatting sqref="E53:M55 AB46:AF46">
    <cfRule type="expression" dxfId="7513" priority="239">
      <formula>E46&gt;$AG46</formula>
    </cfRule>
  </conditionalFormatting>
  <conditionalFormatting sqref="AG70 AG87 E100:M106 Q67:T69">
    <cfRule type="expression" dxfId="7512" priority="235">
      <formula>E$9&gt;=20/24</formula>
    </cfRule>
    <cfRule type="expression" dxfId="7511" priority="236">
      <formula>AND(E$9&gt;=14/24,E$9&lt;20/24)</formula>
    </cfRule>
    <cfRule type="expression" dxfId="7510" priority="237">
      <formula>AND(E$9&gt;=8/24,E$9&lt;14/24)</formula>
    </cfRule>
    <cfRule type="expression" dxfId="7509" priority="238">
      <formula>E$9&lt;8/24</formula>
    </cfRule>
  </conditionalFormatting>
  <conditionalFormatting sqref="AG48 AG66 AG70 Q67:T69">
    <cfRule type="expression" dxfId="7508" priority="234">
      <formula>Q48&gt;$AG48</formula>
    </cfRule>
  </conditionalFormatting>
  <conditionalFormatting sqref="AB58:AF58">
    <cfRule type="expression" dxfId="7507" priority="230">
      <formula>AB$9&gt;=20/24</formula>
    </cfRule>
    <cfRule type="expression" dxfId="7506" priority="231">
      <formula>AND(AB$9&gt;=14/24,AB$9&lt;20/24)</formula>
    </cfRule>
    <cfRule type="expression" dxfId="7505" priority="232">
      <formula>AND(AB$9&gt;=8/24,AB$9&lt;14/24)</formula>
    </cfRule>
    <cfRule type="expression" dxfId="7504" priority="233">
      <formula>AB$9&lt;8/24</formula>
    </cfRule>
  </conditionalFormatting>
  <conditionalFormatting sqref="AB58:AF58">
    <cfRule type="expression" dxfId="7503" priority="229">
      <formula>AB58&gt;$AG58</formula>
    </cfRule>
  </conditionalFormatting>
  <conditionalFormatting sqref="A43">
    <cfRule type="expression" dxfId="7502" priority="228">
      <formula>$AH43=0</formula>
    </cfRule>
  </conditionalFormatting>
  <conditionalFormatting sqref="X91:AF95">
    <cfRule type="expression" dxfId="7501" priority="224">
      <formula>X$9&gt;=20/24</formula>
    </cfRule>
    <cfRule type="expression" dxfId="7500" priority="225">
      <formula>AND(X$9&gt;=14/24,X$9&lt;20/24)</formula>
    </cfRule>
    <cfRule type="expression" dxfId="7499" priority="226">
      <formula>AND(X$9&gt;=8/24,X$9&lt;14/24)</formula>
    </cfRule>
    <cfRule type="expression" dxfId="7498" priority="227">
      <formula>X$9&lt;8/24</formula>
    </cfRule>
  </conditionalFormatting>
  <conditionalFormatting sqref="AL45 AL41 AL22:AL32 AL38:AL39 AL7:AL10 AL12:AL15 AL17:AL20 AL34:AL36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E49:X51 Z49:AF49 AB50:AF51">
    <cfRule type="expression" dxfId="7497" priority="220">
      <formula>E$9&gt;=20/24</formula>
    </cfRule>
    <cfRule type="expression" dxfId="7496" priority="221">
      <formula>AND(E$9&gt;=14/24,E$9&lt;20/24)</formula>
    </cfRule>
    <cfRule type="expression" dxfId="7495" priority="222">
      <formula>AND(E$9&gt;=8/24,E$9&lt;14/24)</formula>
    </cfRule>
    <cfRule type="expression" dxfId="7494" priority="223">
      <formula>E$9&lt;8/24</formula>
    </cfRule>
  </conditionalFormatting>
  <conditionalFormatting sqref="E49:X51 Z49:AF49 AB50:AF51">
    <cfRule type="expression" dxfId="7493" priority="219">
      <formula>E49&gt;$AG49</formula>
    </cfRule>
  </conditionalFormatting>
  <conditionalFormatting sqref="AG52">
    <cfRule type="expression" dxfId="7492" priority="215">
      <formula>AG$9&gt;=20/24</formula>
    </cfRule>
    <cfRule type="expression" dxfId="7491" priority="216">
      <formula>AND(AG$9&gt;=14/24,AG$9&lt;20/24)</formula>
    </cfRule>
    <cfRule type="expression" dxfId="7490" priority="217">
      <formula>AND(AG$9&gt;=8/24,AG$9&lt;14/24)</formula>
    </cfRule>
    <cfRule type="expression" dxfId="7489" priority="218">
      <formula>AG$9&lt;8/24</formula>
    </cfRule>
  </conditionalFormatting>
  <conditionalFormatting sqref="AG52">
    <cfRule type="expression" dxfId="7488" priority="214">
      <formula>AG52&gt;$AG52</formula>
    </cfRule>
  </conditionalFormatting>
  <conditionalFormatting sqref="C107:AF107">
    <cfRule type="expression" dxfId="7487" priority="210">
      <formula>C$9&gt;=20/24</formula>
    </cfRule>
    <cfRule type="expression" dxfId="7486" priority="211">
      <formula>AND(C$9&gt;=14/24,C$9&lt;20/24)</formula>
    </cfRule>
    <cfRule type="expression" dxfId="7485" priority="212">
      <formula>AND(C$9&gt;=8/24,C$9&lt;14/24)</formula>
    </cfRule>
    <cfRule type="expression" dxfId="7484" priority="213">
      <formula>C$9&lt;8/24</formula>
    </cfRule>
  </conditionalFormatting>
  <conditionalFormatting sqref="AL40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483" priority="208">
      <formula>$AH40=0</formula>
    </cfRule>
  </conditionalFormatting>
  <conditionalFormatting sqref="A90">
    <cfRule type="expression" dxfId="7482" priority="206">
      <formula>$AH90=0</formula>
    </cfRule>
  </conditionalFormatting>
  <conditionalFormatting sqref="A87">
    <cfRule type="expression" dxfId="7481" priority="207">
      <formula>$AH87=0</formula>
    </cfRule>
  </conditionalFormatting>
  <conditionalFormatting sqref="D110:AF110">
    <cfRule type="expression" dxfId="7480" priority="194">
      <formula>D$9&gt;=20/24</formula>
    </cfRule>
    <cfRule type="expression" dxfId="7479" priority="195">
      <formula>AND(D$9&gt;=14/24,D$9&lt;20/24)</formula>
    </cfRule>
    <cfRule type="expression" dxfId="7478" priority="196">
      <formula>AND(D$9&gt;=8/24,D$9&lt;14/24)</formula>
    </cfRule>
    <cfRule type="expression" dxfId="7477" priority="197">
      <formula>D$9&lt;8/24</formula>
    </cfRule>
  </conditionalFormatting>
  <conditionalFormatting sqref="A110">
    <cfRule type="expression" dxfId="7476" priority="193">
      <formula>$AH110=0</formula>
    </cfRule>
  </conditionalFormatting>
  <conditionalFormatting sqref="A21">
    <cfRule type="expression" dxfId="7475" priority="191">
      <formula>$AH21=0</formula>
    </cfRule>
  </conditionalFormatting>
  <conditionalFormatting sqref="AL21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474" priority="189">
      <formula>$AH37=0</formula>
    </cfRule>
  </conditionalFormatting>
  <conditionalFormatting sqref="AL37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7473" priority="185">
      <formula>Y$9&gt;=20/24</formula>
    </cfRule>
    <cfRule type="expression" dxfId="7472" priority="186">
      <formula>AND(Y$9&gt;=14/24,Y$9&lt;20/24)</formula>
    </cfRule>
    <cfRule type="expression" dxfId="7471" priority="187">
      <formula>AND(Y$9&gt;=8/24,Y$9&lt;14/24)</formula>
    </cfRule>
    <cfRule type="expression" dxfId="7470" priority="188">
      <formula>Y$9&lt;8/24</formula>
    </cfRule>
  </conditionalFormatting>
  <conditionalFormatting sqref="Y100:AC106">
    <cfRule type="expression" dxfId="7469" priority="181">
      <formula>Y$9&gt;=20/24</formula>
    </cfRule>
    <cfRule type="expression" dxfId="7468" priority="182">
      <formula>AND(Y$9&gt;=14/24,Y$9&lt;20/24)</formula>
    </cfRule>
    <cfRule type="expression" dxfId="7467" priority="183">
      <formula>AND(Y$9&gt;=8/24,Y$9&lt;14/24)</formula>
    </cfRule>
    <cfRule type="expression" dxfId="7466" priority="184">
      <formula>Y$9&lt;8/24</formula>
    </cfRule>
  </conditionalFormatting>
  <conditionalFormatting sqref="B109:C109 B111:C116 B17:X32 B34:X43">
    <cfRule type="expression" dxfId="7465" priority="177">
      <formula>B$9&gt;=20/24</formula>
    </cfRule>
    <cfRule type="expression" dxfId="7464" priority="178">
      <formula>AND(B$9&gt;=14/24,B$9&lt;20/24)</formula>
    </cfRule>
    <cfRule type="expression" dxfId="7463" priority="179">
      <formula>AND(B$9&gt;=8/24,B$9&lt;14/24)</formula>
    </cfRule>
    <cfRule type="expression" dxfId="7462" priority="180">
      <formula>B$9&lt;8/24</formula>
    </cfRule>
  </conditionalFormatting>
  <conditionalFormatting sqref="B47:S47">
    <cfRule type="expression" dxfId="7461" priority="173">
      <formula>B$9&gt;=20/24</formula>
    </cfRule>
    <cfRule type="expression" dxfId="7460" priority="174">
      <formula>AND(B$9&gt;=14/24,B$9&lt;20/24)</formula>
    </cfRule>
    <cfRule type="expression" dxfId="7459" priority="175">
      <formula>AND(B$9&gt;=8/24,B$9&lt;14/24)</formula>
    </cfRule>
    <cfRule type="expression" dxfId="7458" priority="176">
      <formula>B$9&lt;8/24</formula>
    </cfRule>
  </conditionalFormatting>
  <conditionalFormatting sqref="B47:S47 B17:X32 B34:X43">
    <cfRule type="expression" dxfId="7457" priority="172">
      <formula>B17&gt;$AG17</formula>
    </cfRule>
  </conditionalFormatting>
  <conditionalFormatting sqref="B99:D99">
    <cfRule type="expression" dxfId="7456" priority="168">
      <formula>B$9&gt;=20/24</formula>
    </cfRule>
    <cfRule type="expression" dxfId="7455" priority="169">
      <formula>AND(B$9&gt;=14/24,B$9&lt;20/24)</formula>
    </cfRule>
    <cfRule type="expression" dxfId="7454" priority="170">
      <formula>AND(B$9&gt;=8/24,B$9&lt;14/24)</formula>
    </cfRule>
    <cfRule type="expression" dxfId="7453" priority="171">
      <formula>B$9&lt;8/24</formula>
    </cfRule>
  </conditionalFormatting>
  <conditionalFormatting sqref="B54:D55 B71:D71">
    <cfRule type="expression" dxfId="7452" priority="164">
      <formula>B$9&gt;=20/24</formula>
    </cfRule>
    <cfRule type="expression" dxfId="7451" priority="165">
      <formula>AND(B$9&gt;=14/24,B$9&lt;20/24)</formula>
    </cfRule>
    <cfRule type="expression" dxfId="7450" priority="166">
      <formula>AND(B$9&gt;=8/24,B$9&lt;14/24)</formula>
    </cfRule>
    <cfRule type="expression" dxfId="7449" priority="167">
      <formula>B$9&lt;8/24</formula>
    </cfRule>
  </conditionalFormatting>
  <conditionalFormatting sqref="B53:D53">
    <cfRule type="expression" dxfId="7448" priority="160">
      <formula>B$9&gt;=20/24</formula>
    </cfRule>
    <cfRule type="expression" dxfId="7447" priority="161">
      <formula>AND(B$9&gt;=14/24,B$9&lt;20/24)</formula>
    </cfRule>
    <cfRule type="expression" dxfId="7446" priority="162">
      <formula>AND(B$9&gt;=8/24,B$9&lt;14/24)</formula>
    </cfRule>
    <cfRule type="expression" dxfId="7445" priority="163">
      <formula>B$9&lt;8/24</formula>
    </cfRule>
  </conditionalFormatting>
  <conditionalFormatting sqref="B53:D55">
    <cfRule type="expression" dxfId="7444" priority="159">
      <formula>B53&gt;$AG53</formula>
    </cfRule>
  </conditionalFormatting>
  <conditionalFormatting sqref="B86:C86 B100:D106 B72:D76 B67:P69 B96:W96 B83:X85 E74:X76 Z83:AF85 AB75:AF76">
    <cfRule type="expression" dxfId="7443" priority="155">
      <formula>B$9&gt;=20/24</formula>
    </cfRule>
    <cfRule type="expression" dxfId="7442" priority="156">
      <formula>AND(B$9&gt;=14/24,B$9&lt;20/24)</formula>
    </cfRule>
    <cfRule type="expression" dxfId="7441" priority="157">
      <formula>AND(B$9&gt;=8/24,B$9&lt;14/24)</formula>
    </cfRule>
    <cfRule type="expression" dxfId="7440" priority="158">
      <formula>B$9&lt;8/24</formula>
    </cfRule>
  </conditionalFormatting>
  <conditionalFormatting sqref="B67:P69 B56:M57">
    <cfRule type="expression" dxfId="7439" priority="154">
      <formula>B56&gt;$AG56</formula>
    </cfRule>
  </conditionalFormatting>
  <conditionalFormatting sqref="B58:M58">
    <cfRule type="expression" dxfId="7438" priority="150">
      <formula>B$9&gt;=20/24</formula>
    </cfRule>
    <cfRule type="expression" dxfId="7437" priority="151">
      <formula>AND(B$9&gt;=14/24,B$9&lt;20/24)</formula>
    </cfRule>
    <cfRule type="expression" dxfId="7436" priority="152">
      <formula>AND(B$9&gt;=8/24,B$9&lt;14/24)</formula>
    </cfRule>
    <cfRule type="expression" dxfId="7435" priority="153">
      <formula>B$9&lt;8/24</formula>
    </cfRule>
  </conditionalFormatting>
  <conditionalFormatting sqref="B58:M58">
    <cfRule type="expression" dxfId="7434" priority="149">
      <formula>B58&gt;$AG58</formula>
    </cfRule>
  </conditionalFormatting>
  <conditionalFormatting sqref="B97 B88:J88">
    <cfRule type="expression" dxfId="7433" priority="145">
      <formula>B$9&gt;=20/24</formula>
    </cfRule>
    <cfRule type="expression" dxfId="7432" priority="146">
      <formula>AND(B$9&gt;=14/24,B$9&lt;20/24)</formula>
    </cfRule>
    <cfRule type="expression" dxfId="7431" priority="147">
      <formula>AND(B$9&gt;=8/24,B$9&lt;14/24)</formula>
    </cfRule>
    <cfRule type="expression" dxfId="7430" priority="148">
      <formula>B$9&lt;8/24</formula>
    </cfRule>
  </conditionalFormatting>
  <conditionalFormatting sqref="B46:X46">
    <cfRule type="expression" dxfId="7429" priority="141">
      <formula>B$9&gt;=20/24</formula>
    </cfRule>
    <cfRule type="expression" dxfId="7428" priority="142">
      <formula>AND(B$9&gt;=14/24,B$9&lt;20/24)</formula>
    </cfRule>
    <cfRule type="expression" dxfId="7427" priority="143">
      <formula>AND(B$9&gt;=8/24,B$9&lt;14/24)</formula>
    </cfRule>
    <cfRule type="expression" dxfId="7426" priority="144">
      <formula>B$9&lt;8/24</formula>
    </cfRule>
  </conditionalFormatting>
  <conditionalFormatting sqref="B46:X46">
    <cfRule type="expression" dxfId="7425" priority="140">
      <formula>B46&gt;$AG46</formula>
    </cfRule>
  </conditionalFormatting>
  <conditionalFormatting sqref="B89:AF89 B98:AF98 B70:AF70 B87:AF87">
    <cfRule type="expression" dxfId="7424" priority="136">
      <formula>B$9&gt;=20/24</formula>
    </cfRule>
    <cfRule type="expression" dxfId="7423" priority="137">
      <formula>AND(B$9&gt;=14/24,B$9&lt;20/24)</formula>
    </cfRule>
    <cfRule type="expression" dxfId="7422" priority="138">
      <formula>AND(B$9&gt;=8/24,B$9&lt;14/24)</formula>
    </cfRule>
    <cfRule type="expression" dxfId="7421" priority="139">
      <formula>B$9&lt;8/24</formula>
    </cfRule>
  </conditionalFormatting>
  <conditionalFormatting sqref="B65:X66 Z65:AF65 B48:AF48 Y66:AF66 B70:AF70">
    <cfRule type="expression" dxfId="7420" priority="135">
      <formula>B48&gt;$AG48</formula>
    </cfRule>
  </conditionalFormatting>
  <conditionalFormatting sqref="B82:AF82">
    <cfRule type="expression" dxfId="7419" priority="131">
      <formula>B$9&gt;=20/24</formula>
    </cfRule>
    <cfRule type="expression" dxfId="7418" priority="132">
      <formula>AND(B$9&gt;=14/24,B$9&lt;20/24)</formula>
    </cfRule>
    <cfRule type="expression" dxfId="7417" priority="133">
      <formula>AND(B$9&gt;=8/24,B$9&lt;14/24)</formula>
    </cfRule>
    <cfRule type="expression" dxfId="7416" priority="134">
      <formula>B$9&lt;8/24</formula>
    </cfRule>
  </conditionalFormatting>
  <conditionalFormatting sqref="B91:W95">
    <cfRule type="expression" dxfId="7415" priority="127">
      <formula>B$9&gt;=20/24</formula>
    </cfRule>
    <cfRule type="expression" dxfId="7414" priority="128">
      <formula>AND(B$9&gt;=14/24,B$9&lt;20/24)</formula>
    </cfRule>
    <cfRule type="expression" dxfId="7413" priority="129">
      <formula>AND(B$9&gt;=8/24,B$9&lt;14/24)</formula>
    </cfRule>
    <cfRule type="expression" dxfId="7412" priority="130">
      <formula>B$9&lt;8/24</formula>
    </cfRule>
  </conditionalFormatting>
  <conditionalFormatting sqref="B49:D51">
    <cfRule type="expression" dxfId="7411" priority="123">
      <formula>B$9&gt;=20/24</formula>
    </cfRule>
    <cfRule type="expression" dxfId="7410" priority="124">
      <formula>AND(B$9&gt;=14/24,B$9&lt;20/24)</formula>
    </cfRule>
    <cfRule type="expression" dxfId="7409" priority="125">
      <formula>AND(B$9&gt;=8/24,B$9&lt;14/24)</formula>
    </cfRule>
    <cfRule type="expression" dxfId="7408" priority="126">
      <formula>B$9&lt;8/24</formula>
    </cfRule>
  </conditionalFormatting>
  <conditionalFormatting sqref="B49:D51">
    <cfRule type="expression" dxfId="7407" priority="122">
      <formula>B49&gt;$AG49</formula>
    </cfRule>
  </conditionalFormatting>
  <conditionalFormatting sqref="B52:AF52">
    <cfRule type="expression" dxfId="7406" priority="118">
      <formula>B$9&gt;=20/24</formula>
    </cfRule>
    <cfRule type="expression" dxfId="7405" priority="119">
      <formula>AND(B$9&gt;=14/24,B$9&lt;20/24)</formula>
    </cfRule>
    <cfRule type="expression" dxfId="7404" priority="120">
      <formula>AND(B$9&gt;=8/24,B$9&lt;14/24)</formula>
    </cfRule>
    <cfRule type="expression" dxfId="7403" priority="121">
      <formula>B$9&lt;8/24</formula>
    </cfRule>
  </conditionalFormatting>
  <conditionalFormatting sqref="B52:AF52">
    <cfRule type="expression" dxfId="7402" priority="117">
      <formula>B52&gt;$AG52</formula>
    </cfRule>
  </conditionalFormatting>
  <conditionalFormatting sqref="B107">
    <cfRule type="expression" dxfId="7401" priority="113">
      <formula>B$9&gt;=20/24</formula>
    </cfRule>
    <cfRule type="expression" dxfId="7400" priority="114">
      <formula>AND(B$9&gt;=14/24,B$9&lt;20/24)</formula>
    </cfRule>
    <cfRule type="expression" dxfId="7399" priority="115">
      <formula>AND(B$9&gt;=8/24,B$9&lt;14/24)</formula>
    </cfRule>
    <cfRule type="expression" dxfId="7398" priority="116">
      <formula>B$9&lt;8/24</formula>
    </cfRule>
  </conditionalFormatting>
  <conditionalFormatting sqref="B110:C110">
    <cfRule type="expression" dxfId="7397" priority="101">
      <formula>B$9&gt;=20/24</formula>
    </cfRule>
    <cfRule type="expression" dxfId="7396" priority="102">
      <formula>AND(B$9&gt;=14/24,B$9&lt;20/24)</formula>
    </cfRule>
    <cfRule type="expression" dxfId="7395" priority="103">
      <formula>AND(B$9&gt;=8/24,B$9&lt;14/24)</formula>
    </cfRule>
    <cfRule type="expression" dxfId="7394" priority="104">
      <formula>B$9&lt;8/24</formula>
    </cfRule>
  </conditionalFormatting>
  <conditionalFormatting sqref="B59:X64 AB59:AF64">
    <cfRule type="expression" dxfId="7393" priority="97">
      <formula>B$9&gt;=20/24</formula>
    </cfRule>
    <cfRule type="expression" dxfId="7392" priority="98">
      <formula>AND(B$9&gt;=14/24,B$9&lt;20/24)</formula>
    </cfRule>
    <cfRule type="expression" dxfId="7391" priority="99">
      <formula>AND(B$9&gt;=8/24,B$9&lt;14/24)</formula>
    </cfRule>
    <cfRule type="expression" dxfId="7390" priority="100">
      <formula>B$9&lt;8/24</formula>
    </cfRule>
  </conditionalFormatting>
  <conditionalFormatting sqref="B59:X64 AB59:AF64">
    <cfRule type="expression" dxfId="7389" priority="96">
      <formula>B59&gt;$AG59</formula>
    </cfRule>
  </conditionalFormatting>
  <conditionalFormatting sqref="B13:X15 B45:X45">
    <cfRule type="expression" dxfId="7388" priority="95">
      <formula>B13&gt;$AG13</formula>
    </cfRule>
  </conditionalFormatting>
  <conditionalFormatting sqref="B12:X12">
    <cfRule type="expression" dxfId="7387" priority="91">
      <formula>B$9&gt;=20/24</formula>
    </cfRule>
    <cfRule type="expression" dxfId="7386" priority="92">
      <formula>AND(B$9&gt;=14/24,B$9&lt;20/24)</formula>
    </cfRule>
    <cfRule type="expression" dxfId="7385" priority="93">
      <formula>AND(B$9&gt;=8/24,B$9&lt;14/24)</formula>
    </cfRule>
    <cfRule type="expression" dxfId="7384" priority="94">
      <formula>B$9&lt;8/24</formula>
    </cfRule>
  </conditionalFormatting>
  <conditionalFormatting sqref="B12:X12">
    <cfRule type="expression" dxfId="7383" priority="90">
      <formula>B12&gt;$AG12</formula>
    </cfRule>
  </conditionalFormatting>
  <conditionalFormatting sqref="B13:X15">
    <cfRule type="expression" dxfId="7382" priority="86">
      <formula>B$9&gt;=20/24</formula>
    </cfRule>
    <cfRule type="expression" dxfId="7381" priority="87">
      <formula>AND(B$9&gt;=14/24,B$9&lt;20/24)</formula>
    </cfRule>
    <cfRule type="expression" dxfId="7380" priority="88">
      <formula>AND(B$9&gt;=8/24,B$9&lt;14/24)</formula>
    </cfRule>
    <cfRule type="expression" dxfId="7379" priority="89">
      <formula>B$9&lt;8/24</formula>
    </cfRule>
  </conditionalFormatting>
  <conditionalFormatting sqref="B45:X45">
    <cfRule type="expression" dxfId="7378" priority="82">
      <formula>B$9&gt;=20/24</formula>
    </cfRule>
    <cfRule type="expression" dxfId="7377" priority="83">
      <formula>AND(B$9&gt;=14/24,B$9&lt;20/24)</formula>
    </cfRule>
    <cfRule type="expression" dxfId="7376" priority="84">
      <formula>AND(B$9&gt;=8/24,B$9&lt;14/24)</formula>
    </cfRule>
    <cfRule type="expression" dxfId="7375" priority="85">
      <formula>B$9&lt;8/24</formula>
    </cfRule>
  </conditionalFormatting>
  <conditionalFormatting sqref="B77:X81 AB77:AF81">
    <cfRule type="expression" dxfId="7374" priority="78">
      <formula>B$9&gt;=20/24</formula>
    </cfRule>
    <cfRule type="expression" dxfId="7373" priority="79">
      <formula>AND(B$9&gt;=14/24,B$9&lt;20/24)</formula>
    </cfRule>
    <cfRule type="expression" dxfId="7372" priority="80">
      <formula>AND(B$9&gt;=8/24,B$9&lt;14/24)</formula>
    </cfRule>
    <cfRule type="expression" dxfId="7371" priority="81">
      <formula>B$9&lt;8/24</formula>
    </cfRule>
  </conditionalFormatting>
  <conditionalFormatting sqref="AL78:AN78 AL84:AN84 AN79:AN80">
    <cfRule type="expression" dxfId="7370" priority="74">
      <formula>AL$9&gt;=20/24</formula>
    </cfRule>
    <cfRule type="expression" dxfId="7369" priority="75">
      <formula>AND(AL$9&gt;=14/24,AL$9&lt;20/24)</formula>
    </cfRule>
    <cfRule type="expression" dxfId="7368" priority="76">
      <formula>AND(AL$9&gt;=8/24,AL$9&lt;14/24)</formula>
    </cfRule>
    <cfRule type="expression" dxfId="7367" priority="77">
      <formula>AL$9&lt;8/24</formula>
    </cfRule>
  </conditionalFormatting>
  <conditionalFormatting sqref="AN81:AN82">
    <cfRule type="expression" dxfId="7366" priority="70">
      <formula>AN$9&gt;=20/24</formula>
    </cfRule>
    <cfRule type="expression" dxfId="7365" priority="71">
      <formula>AND(AN$9&gt;=14/24,AN$9&lt;20/24)</formula>
    </cfRule>
    <cfRule type="expression" dxfId="7364" priority="72">
      <formula>AND(AN$9&gt;=8/24,AN$9&lt;14/24)</formula>
    </cfRule>
    <cfRule type="expression" dxfId="7363" priority="73">
      <formula>AN$9&lt;8/24</formula>
    </cfRule>
  </conditionalFormatting>
  <conditionalFormatting sqref="AL79:AM83">
    <cfRule type="expression" dxfId="7362" priority="326">
      <formula>AJ$9&gt;=20/24</formula>
    </cfRule>
    <cfRule type="expression" dxfId="7361" priority="327">
      <formula>AND(AJ$9&gt;=14/24,AJ$9&lt;20/24)</formula>
    </cfRule>
    <cfRule type="expression" dxfId="7360" priority="328">
      <formula>AND(AJ$9&gt;=8/24,AJ$9&lt;14/24)</formula>
    </cfRule>
    <cfRule type="expression" dxfId="7359" priority="329">
      <formula>AJ$9&lt;8/24</formula>
    </cfRule>
  </conditionalFormatting>
  <conditionalFormatting sqref="A117">
    <cfRule type="expression" dxfId="7358" priority="69">
      <formula>$AH117=0</formula>
    </cfRule>
  </conditionalFormatting>
  <conditionalFormatting sqref="AL11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16">
    <cfRule type="iconSet" priority="51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2" id="{E723BA39-AD98-4970-9B84-82EF667DACB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3" id="{F008BE3E-F7E5-4EC4-A95C-31AA09601CE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4" id="{516305C0-5F2F-44A1-A9D2-33A4692C1DA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5" id="{CF182BFE-95B6-472E-88C9-36FD5E26F90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D117:AF117</xm:sqref>
        </x14:conditionalFormatting>
        <x14:conditionalFormatting xmlns:xm="http://schemas.microsoft.com/office/excel/2006/main">
          <x14:cfRule type="expression" priority="198" id="{65A4AE64-97DE-4F83-8B56-FF115167D7F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9" id="{00F80AC1-BFD7-42FC-8FDE-19F06DCD121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0" id="{41A7C62B-B99B-4933-9E5F-5D1C2423D80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1" id="{05F71A73-041E-4BD6-8D1E-DDF2072FF9E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C117</xm:sqref>
        </x14:conditionalFormatting>
        <x14:conditionalFormatting xmlns:xm="http://schemas.microsoft.com/office/excel/2006/main">
          <x14:cfRule type="expression" priority="109" id="{03A26B3D-C58C-4309-90E1-F4AF5FCF90E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0" id="{0E647178-3690-4768-8DA5-17AA4941DF4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1" id="{4C88A1E5-1050-48B2-BC4C-C94730E64BF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2" id="{D14CAAD7-7E8B-4BCD-8034-0F24562648A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B90:AF90</xm:sqref>
        </x14:conditionalFormatting>
        <x14:conditionalFormatting xmlns:xm="http://schemas.microsoft.com/office/excel/2006/main">
          <x14:cfRule type="expression" priority="105" id="{4ABCBE03-6B76-4048-967C-68E3C7BBECB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6" id="{76F95F8A-6F19-4004-B9E0-8152D5326E4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7" id="{4AABAF8C-4355-43F4-BD92-67783C5D8C1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8" id="{36563C80-B919-461B-BFD9-E3AAA26FA2F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B117</xm:sqref>
        </x14:conditionalFormatting>
        <x14:conditionalFormatting xmlns:xm="http://schemas.microsoft.com/office/excel/2006/main">
          <x14:cfRule type="expression" priority="64" id="{F04170BE-3D12-484E-B59A-70B67B960700}">
            <xm:f>'15'!B$9&gt;=20/24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5" id="{7EB7BFCF-7B2A-4F19-B8C5-4BF85C95B3F9}">
            <xm:f>AND('15'!B$9&gt;=14/24,'15'!B$9&lt;20/24)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6" id="{C0588127-94ED-4F1A-8D8C-C002EC8E46DA}">
            <xm:f>AND('15'!B$9&gt;=8/24,'15'!B$9&lt;14/24)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7" id="{D7F626E6-DC74-40E3-9CC8-10938418D214}">
            <xm:f>'15'!B$9&lt;8/24</xm:f>
            <x14:dxf>
              <fill>
                <patternFill>
                  <bgColor rgb="FFFFFF66"/>
                </patternFill>
              </fill>
            </x14:dxf>
          </x14:cfRule>
          <xm:sqref>B11:AF11 B16:AF16 B33:AF33</xm:sqref>
        </x14:conditionalFormatting>
        <x14:conditionalFormatting xmlns:xm="http://schemas.microsoft.com/office/excel/2006/main">
          <x14:cfRule type="expression" priority="63" id="{C0161F64-629C-48DD-B95C-F9FA3142E13F}">
            <xm:f>'15'!B11&gt;'15'!$AG11</xm:f>
            <x14:dxf>
              <fill>
                <patternFill>
                  <bgColor rgb="FFFF0000"/>
                </patternFill>
              </fill>
            </x14:dxf>
          </x14:cfRule>
          <xm:sqref>B11:AF11 B16:AF16 B33:AF33</xm:sqref>
        </x14:conditionalFormatting>
        <x14:conditionalFormatting xmlns:xm="http://schemas.microsoft.com/office/excel/2006/main">
          <x14:cfRule type="expression" priority="62" id="{FC75DC11-FF74-460C-85DD-51D2055F9493}">
            <xm:f>'15'!$AH11=0</xm:f>
            <x14:dxf>
              <fill>
                <patternFill>
                  <bgColor rgb="FF51E2F1"/>
                </patternFill>
              </fill>
            </x14:dxf>
          </x14:cfRule>
          <xm:sqref>A11 A16 A33</xm:sqref>
        </x14:conditionalFormatting>
        <x14:conditionalFormatting xmlns:xm="http://schemas.microsoft.com/office/excel/2006/main">
          <x14:cfRule type="expression" priority="11" id="{A17A9491-F0D6-489D-8861-9096DCDDFEC4}">
            <xm:f>'15'!$AH44=0</xm:f>
            <x14:dxf>
              <fill>
                <patternFill>
                  <bgColor rgb="FF51E2F1"/>
                </patternFill>
              </fill>
            </x14:dxf>
          </x14:cfRule>
          <xm:sqref>A44</xm:sqref>
        </x14:conditionalFormatting>
        <x14:conditionalFormatting xmlns:xm="http://schemas.microsoft.com/office/excel/2006/main">
          <x14:cfRule type="expression" priority="2" id="{25982A72-FDE4-44AE-AD7C-9BC003F4AC82}">
            <xm:f>'15'!B$9&gt;=20/24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D7C5B52A-6A67-408E-940C-F6805691414A}">
            <xm:f>AND('15'!B$9&gt;=14/24,'15'!B$9&lt;20/24)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4E667FCC-8E9D-44E1-B59E-AF98FD2F01DB}">
            <xm:f>AND('15'!B$9&gt;=8/24,'15'!B$9&lt;14/24)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92FE875E-7AF4-4ECE-9151-A3096B8CA6C2}">
            <xm:f>'15'!B$9&lt;8/24</xm:f>
            <x14:dxf>
              <fill>
                <patternFill>
                  <bgColor rgb="FFFFFF66"/>
                </patternFill>
              </fill>
            </x14:dxf>
          </x14:cfRule>
          <xm:sqref>B44:AF44</xm:sqref>
        </x14:conditionalFormatting>
        <x14:conditionalFormatting xmlns:xm="http://schemas.microsoft.com/office/excel/2006/main">
          <x14:cfRule type="expression" priority="1" id="{66A138A2-261D-4BD8-92EF-4ABF0D6B25D5}">
            <xm:f>'15'!B44&gt;'15'!$AG44</xm:f>
            <x14:dxf>
              <fill>
                <patternFill>
                  <bgColor rgb="FFFF0000"/>
                </patternFill>
              </fill>
            </x14:dxf>
          </x14:cfRule>
          <xm:sqref>B44:AF44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8"/>
  <sheetViews>
    <sheetView workbookViewId="0">
      <pane ySplit="10" topLeftCell="A62" activePane="bottomLeft" state="frozen"/>
      <selection activeCell="Z85" sqref="Z85"/>
      <selection pane="bottomLeft" activeCell="V79" sqref="V7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2079/11/15</v>
      </c>
      <c r="C4" s="208"/>
      <c r="D4" s="208"/>
      <c r="E4" s="209" t="str">
        <f ca="1">"2079/"&amp;"11/"&amp;INT(MID(CELL("filename",G6),FIND("]",CELL("filename",G6))+1,200))</f>
        <v>2079/11/15</v>
      </c>
      <c r="F4" s="209"/>
      <c r="G4" s="209"/>
      <c r="H4" s="209" t="str">
        <f ca="1">TEXT(E4,"dddd")</f>
        <v>Wednesday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428.6</v>
      </c>
      <c r="C5" s="30">
        <f t="shared" si="0"/>
        <v>409.8</v>
      </c>
      <c r="D5" s="30">
        <f t="shared" si="0"/>
        <v>418</v>
      </c>
      <c r="E5" s="30">
        <f t="shared" si="0"/>
        <v>388</v>
      </c>
      <c r="F5" s="30">
        <f t="shared" si="0"/>
        <v>390.7</v>
      </c>
      <c r="G5" s="30">
        <f t="shared" si="0"/>
        <v>412.9</v>
      </c>
      <c r="H5" s="30">
        <f t="shared" si="0"/>
        <v>440</v>
      </c>
      <c r="I5" s="30">
        <f t="shared" si="0"/>
        <v>239.8</v>
      </c>
      <c r="J5" s="30">
        <f t="shared" si="0"/>
        <v>169.8</v>
      </c>
      <c r="K5" s="30">
        <f t="shared" si="0"/>
        <v>111.9</v>
      </c>
      <c r="L5" s="30">
        <f t="shared" si="0"/>
        <v>134.1</v>
      </c>
      <c r="M5" s="30">
        <f t="shared" si="0"/>
        <v>315.10000000000002</v>
      </c>
      <c r="N5" s="30">
        <f t="shared" si="0"/>
        <v>357.4</v>
      </c>
      <c r="O5" s="30">
        <f t="shared" si="0"/>
        <v>501</v>
      </c>
      <c r="P5" s="30">
        <f t="shared" si="0"/>
        <v>476.4</v>
      </c>
      <c r="Q5" s="30">
        <f t="shared" si="0"/>
        <v>486.7</v>
      </c>
      <c r="R5" s="30">
        <f t="shared" si="0"/>
        <v>493.9</v>
      </c>
      <c r="S5" s="30">
        <f t="shared" si="0"/>
        <v>498.9</v>
      </c>
      <c r="T5" s="30">
        <f t="shared" si="0"/>
        <v>498.9</v>
      </c>
      <c r="U5" s="30">
        <f t="shared" si="0"/>
        <v>345</v>
      </c>
      <c r="V5" s="30">
        <f t="shared" si="0"/>
        <v>223</v>
      </c>
      <c r="W5" s="30">
        <f t="shared" si="0"/>
        <v>220</v>
      </c>
      <c r="X5" s="30">
        <f t="shared" si="0"/>
        <v>185</v>
      </c>
      <c r="Y5" s="30">
        <f t="shared" si="0"/>
        <v>105</v>
      </c>
      <c r="Z5" s="30">
        <f t="shared" si="0"/>
        <v>171</v>
      </c>
      <c r="AA5" s="30">
        <f t="shared" si="0"/>
        <v>172</v>
      </c>
      <c r="AB5" s="30">
        <f t="shared" si="0"/>
        <v>239</v>
      </c>
      <c r="AC5" s="30">
        <f t="shared" si="0"/>
        <v>345</v>
      </c>
      <c r="AD5" s="30">
        <f t="shared" si="0"/>
        <v>345</v>
      </c>
      <c r="AE5" s="30">
        <f t="shared" si="0"/>
        <v>350</v>
      </c>
      <c r="AF5" s="30">
        <f>B82</f>
        <v>480.8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Load=933</v>
      </c>
      <c r="B7" s="35">
        <f t="shared" ref="B7:AF7" si="1">B89</f>
        <v>1042.1400000000001</v>
      </c>
      <c r="C7" s="35">
        <f t="shared" si="1"/>
        <v>989.94</v>
      </c>
      <c r="D7" s="35">
        <f t="shared" si="1"/>
        <v>954.74</v>
      </c>
      <c r="E7" s="35">
        <f t="shared" si="1"/>
        <v>962.94</v>
      </c>
      <c r="F7" s="35">
        <f t="shared" si="1"/>
        <v>932.94</v>
      </c>
      <c r="G7" s="35">
        <f t="shared" si="1"/>
        <v>988.24</v>
      </c>
      <c r="H7" s="35">
        <f t="shared" si="1"/>
        <v>1064.2399999999998</v>
      </c>
      <c r="I7" s="35">
        <f t="shared" si="1"/>
        <v>1139.3399999999999</v>
      </c>
      <c r="J7" s="35">
        <f t="shared" si="1"/>
        <v>1230.74</v>
      </c>
      <c r="K7" s="35">
        <f t="shared" si="1"/>
        <v>1397.84</v>
      </c>
      <c r="L7" s="35">
        <f t="shared" si="1"/>
        <v>1424.94</v>
      </c>
      <c r="M7" s="35">
        <f t="shared" si="1"/>
        <v>1419.74</v>
      </c>
      <c r="N7" s="35">
        <f>N89</f>
        <v>1357.1399999999999</v>
      </c>
      <c r="O7" s="35">
        <f t="shared" si="1"/>
        <v>1346.6399999999999</v>
      </c>
      <c r="P7" s="35">
        <f t="shared" si="1"/>
        <v>1322.34</v>
      </c>
      <c r="Q7" s="35">
        <f t="shared" si="1"/>
        <v>1239.3400000000001</v>
      </c>
      <c r="R7" s="35">
        <f t="shared" si="1"/>
        <v>1232.8399999999999</v>
      </c>
      <c r="S7" s="35">
        <f t="shared" si="1"/>
        <v>1231.6399999999999</v>
      </c>
      <c r="T7" s="35">
        <f t="shared" si="1"/>
        <v>1203.6399999999999</v>
      </c>
      <c r="U7" s="35">
        <f t="shared" si="1"/>
        <v>1203.6399999999999</v>
      </c>
      <c r="V7" s="35">
        <f t="shared" si="1"/>
        <v>1089.7399999999998</v>
      </c>
      <c r="W7" s="35">
        <f t="shared" si="1"/>
        <v>1373.74</v>
      </c>
      <c r="X7" s="35">
        <f t="shared" si="1"/>
        <v>1500.74</v>
      </c>
      <c r="Y7" s="35">
        <f t="shared" si="1"/>
        <v>1598.74</v>
      </c>
      <c r="Z7" s="35">
        <f t="shared" si="1"/>
        <v>1591.74</v>
      </c>
      <c r="AA7" s="35">
        <f t="shared" si="1"/>
        <v>1546.84</v>
      </c>
      <c r="AB7" s="35">
        <f t="shared" si="1"/>
        <v>1408.04</v>
      </c>
      <c r="AC7" s="35">
        <f t="shared" si="1"/>
        <v>1311.04</v>
      </c>
      <c r="AD7" s="35">
        <f t="shared" si="1"/>
        <v>1247.94</v>
      </c>
      <c r="AE7" s="35">
        <f t="shared" si="1"/>
        <v>1084.74</v>
      </c>
      <c r="AF7" s="35">
        <f t="shared" si="1"/>
        <v>1057.74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" si="2">MAX(B11:AF11)</f>
        <v>25</v>
      </c>
      <c r="AI11" s="48">
        <f t="shared" ref="AI11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14.1</v>
      </c>
      <c r="C12" s="45">
        <v>14.1</v>
      </c>
      <c r="D12" s="45">
        <v>14.1</v>
      </c>
      <c r="E12" s="45">
        <v>14.1</v>
      </c>
      <c r="F12" s="45">
        <v>14.1</v>
      </c>
      <c r="G12" s="45">
        <v>14.1</v>
      </c>
      <c r="H12" s="45">
        <v>14.1</v>
      </c>
      <c r="I12" s="45">
        <v>14.1</v>
      </c>
      <c r="J12" s="45">
        <v>14.1</v>
      </c>
      <c r="K12" s="45">
        <v>14.1</v>
      </c>
      <c r="L12" s="45">
        <v>14.1</v>
      </c>
      <c r="M12" s="45">
        <v>14.1</v>
      </c>
      <c r="N12" s="45">
        <v>14.1</v>
      </c>
      <c r="O12" s="45">
        <v>14.1</v>
      </c>
      <c r="P12" s="45">
        <v>14.1</v>
      </c>
      <c r="Q12" s="45">
        <v>14.1</v>
      </c>
      <c r="R12" s="45">
        <v>14.1</v>
      </c>
      <c r="S12" s="45">
        <v>14.1</v>
      </c>
      <c r="T12" s="45">
        <v>14.1</v>
      </c>
      <c r="U12" s="45">
        <v>14.1</v>
      </c>
      <c r="V12" s="45">
        <v>14.1</v>
      </c>
      <c r="W12" s="45">
        <v>14.1</v>
      </c>
      <c r="X12" s="45">
        <v>14.1</v>
      </c>
      <c r="Y12" s="45">
        <v>14.1</v>
      </c>
      <c r="Z12" s="45">
        <v>14.1</v>
      </c>
      <c r="AA12" s="45">
        <v>14.1</v>
      </c>
      <c r="AB12" s="45">
        <v>14.1</v>
      </c>
      <c r="AC12" s="45">
        <v>14.1</v>
      </c>
      <c r="AD12" s="45">
        <v>14.1</v>
      </c>
      <c r="AE12" s="45">
        <v>14.1</v>
      </c>
      <c r="AF12" s="45">
        <v>14.1</v>
      </c>
      <c r="AG12" s="46">
        <v>52.4</v>
      </c>
      <c r="AH12" s="47">
        <f t="shared" ref="AH12:AH78" si="4">MAX(B12:AF12)</f>
        <v>14.1</v>
      </c>
      <c r="AI12" s="48">
        <f t="shared" ref="AI12:AI78" si="5">MIN(B12:AF12)</f>
        <v>14.1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30.7</v>
      </c>
      <c r="C13" s="45">
        <v>30.7</v>
      </c>
      <c r="D13" s="45">
        <v>30.7</v>
      </c>
      <c r="E13" s="45">
        <v>30.7</v>
      </c>
      <c r="F13" s="45">
        <v>30.7</v>
      </c>
      <c r="G13" s="45">
        <v>30.7</v>
      </c>
      <c r="H13" s="45">
        <v>30.7</v>
      </c>
      <c r="I13" s="45">
        <v>30.7</v>
      </c>
      <c r="J13" s="45">
        <v>30.7</v>
      </c>
      <c r="K13" s="45">
        <v>30.7</v>
      </c>
      <c r="L13" s="45">
        <v>30.7</v>
      </c>
      <c r="M13" s="45">
        <v>30.7</v>
      </c>
      <c r="N13" s="45">
        <v>30.7</v>
      </c>
      <c r="O13" s="45">
        <v>30.7</v>
      </c>
      <c r="P13" s="45">
        <v>30.7</v>
      </c>
      <c r="Q13" s="45">
        <v>30.7</v>
      </c>
      <c r="R13" s="45">
        <v>30.7</v>
      </c>
      <c r="S13" s="45">
        <v>30.7</v>
      </c>
      <c r="T13" s="45">
        <v>30.7</v>
      </c>
      <c r="U13" s="45">
        <v>30.7</v>
      </c>
      <c r="V13" s="45">
        <v>30.7</v>
      </c>
      <c r="W13" s="45">
        <v>30.7</v>
      </c>
      <c r="X13" s="45">
        <v>30.7</v>
      </c>
      <c r="Y13" s="45">
        <v>30.7</v>
      </c>
      <c r="Z13" s="45">
        <v>30.7</v>
      </c>
      <c r="AA13" s="45">
        <v>30.7</v>
      </c>
      <c r="AB13" s="45">
        <v>30.7</v>
      </c>
      <c r="AC13" s="45">
        <v>30.7</v>
      </c>
      <c r="AD13" s="45">
        <v>30.7</v>
      </c>
      <c r="AE13" s="45">
        <v>30.7</v>
      </c>
      <c r="AF13" s="45">
        <v>30.7</v>
      </c>
      <c r="AG13" s="50">
        <v>50</v>
      </c>
      <c r="AH13" s="47">
        <f t="shared" si="4"/>
        <v>30.7</v>
      </c>
      <c r="AI13" s="48">
        <f t="shared" si="5"/>
        <v>30.7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50">
        <v>45</v>
      </c>
      <c r="AH14" s="47">
        <f t="shared" si="4"/>
        <v>15.4</v>
      </c>
      <c r="AI14" s="48">
        <f t="shared" si="5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9</v>
      </c>
      <c r="C15" s="45">
        <v>9</v>
      </c>
      <c r="D15" s="45">
        <v>9</v>
      </c>
      <c r="E15" s="45">
        <v>9</v>
      </c>
      <c r="F15" s="45">
        <v>9</v>
      </c>
      <c r="G15" s="45">
        <v>9</v>
      </c>
      <c r="H15" s="45">
        <v>9</v>
      </c>
      <c r="I15" s="45">
        <v>9</v>
      </c>
      <c r="J15" s="45">
        <v>9</v>
      </c>
      <c r="K15" s="45">
        <v>9</v>
      </c>
      <c r="L15" s="45">
        <v>9</v>
      </c>
      <c r="M15" s="45">
        <v>9</v>
      </c>
      <c r="N15" s="45">
        <v>9</v>
      </c>
      <c r="O15" s="45">
        <v>9</v>
      </c>
      <c r="P15" s="45">
        <v>9</v>
      </c>
      <c r="Q15" s="45">
        <v>9</v>
      </c>
      <c r="R15" s="45">
        <v>9</v>
      </c>
      <c r="S15" s="45">
        <v>9</v>
      </c>
      <c r="T15" s="45">
        <v>9</v>
      </c>
      <c r="U15" s="45">
        <v>9</v>
      </c>
      <c r="V15" s="45">
        <v>9</v>
      </c>
      <c r="W15" s="45">
        <v>9</v>
      </c>
      <c r="X15" s="45">
        <v>9</v>
      </c>
      <c r="Y15" s="45">
        <v>9</v>
      </c>
      <c r="Z15" s="45">
        <v>9</v>
      </c>
      <c r="AA15" s="45">
        <v>9</v>
      </c>
      <c r="AB15" s="45">
        <v>9</v>
      </c>
      <c r="AC15" s="45">
        <v>9</v>
      </c>
      <c r="AD15" s="45">
        <v>9</v>
      </c>
      <c r="AE15" s="45">
        <v>9</v>
      </c>
      <c r="AF15" s="45">
        <v>9</v>
      </c>
      <c r="AG15" s="50">
        <v>42</v>
      </c>
      <c r="AH15" s="47">
        <f t="shared" si="4"/>
        <v>9</v>
      </c>
      <c r="AI15" s="48">
        <f t="shared" si="5"/>
        <v>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ref="AH16" si="6">MAX(B16:AF16)</f>
        <v>8</v>
      </c>
      <c r="AI16" s="48">
        <f t="shared" ref="AI16" si="7">MIN(B16:AF16)</f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4"/>
        <v>12.5</v>
      </c>
      <c r="AI17" s="48">
        <f t="shared" si="5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8.1999999999999993</v>
      </c>
      <c r="C18" s="45">
        <v>8.1999999999999993</v>
      </c>
      <c r="D18" s="45">
        <v>8.1999999999999993</v>
      </c>
      <c r="E18" s="45">
        <v>8.1999999999999993</v>
      </c>
      <c r="F18" s="45">
        <v>8.1999999999999993</v>
      </c>
      <c r="G18" s="45">
        <v>8.1999999999999993</v>
      </c>
      <c r="H18" s="45">
        <v>8.1999999999999993</v>
      </c>
      <c r="I18" s="45">
        <v>8.1999999999999993</v>
      </c>
      <c r="J18" s="45">
        <v>8.1999999999999993</v>
      </c>
      <c r="K18" s="45">
        <v>8.1999999999999993</v>
      </c>
      <c r="L18" s="45">
        <v>8.1999999999999993</v>
      </c>
      <c r="M18" s="45">
        <v>8.1999999999999993</v>
      </c>
      <c r="N18" s="45">
        <v>8.1999999999999993</v>
      </c>
      <c r="O18" s="45">
        <v>8.1999999999999993</v>
      </c>
      <c r="P18" s="45">
        <v>8.1999999999999993</v>
      </c>
      <c r="Q18" s="45">
        <v>8.1999999999999993</v>
      </c>
      <c r="R18" s="45">
        <v>8.1999999999999993</v>
      </c>
      <c r="S18" s="45">
        <v>8.1999999999999993</v>
      </c>
      <c r="T18" s="45">
        <v>8.1999999999999993</v>
      </c>
      <c r="U18" s="45">
        <v>8.1999999999999993</v>
      </c>
      <c r="V18" s="45">
        <v>8.1999999999999993</v>
      </c>
      <c r="W18" s="45">
        <v>8.1999999999999993</v>
      </c>
      <c r="X18" s="45">
        <v>8.1999999999999993</v>
      </c>
      <c r="Y18" s="45">
        <v>8.1999999999999993</v>
      </c>
      <c r="Z18" s="45">
        <v>8.1999999999999993</v>
      </c>
      <c r="AA18" s="45">
        <v>8.1999999999999993</v>
      </c>
      <c r="AB18" s="45">
        <v>8.1999999999999993</v>
      </c>
      <c r="AC18" s="45">
        <v>8.1999999999999993</v>
      </c>
      <c r="AD18" s="45">
        <v>8.1999999999999993</v>
      </c>
      <c r="AE18" s="45">
        <v>8.1999999999999993</v>
      </c>
      <c r="AF18" s="45">
        <v>8.1999999999999993</v>
      </c>
      <c r="AG18" s="51">
        <v>30</v>
      </c>
      <c r="AH18" s="47">
        <f t="shared" si="4"/>
        <v>8.1999999999999993</v>
      </c>
      <c r="AI18" s="48">
        <f t="shared" si="5"/>
        <v>8.1999999999999993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4"/>
        <v>6.6</v>
      </c>
      <c r="AI19" s="48">
        <f t="shared" si="5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4"/>
        <v>8</v>
      </c>
      <c r="AI20" s="48">
        <f t="shared" si="5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4"/>
        <v>13</v>
      </c>
      <c r="AI21" s="48">
        <f t="shared" si="5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</v>
      </c>
      <c r="C22" s="45">
        <v>9.6</v>
      </c>
      <c r="D22" s="45">
        <v>9.6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9.6</v>
      </c>
      <c r="N22" s="45">
        <v>9.6</v>
      </c>
      <c r="O22" s="45">
        <v>9.6</v>
      </c>
      <c r="P22" s="45">
        <v>9.6</v>
      </c>
      <c r="Q22" s="45">
        <v>9.6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45">
        <v>9.6</v>
      </c>
      <c r="Z22" s="45">
        <v>9.6</v>
      </c>
      <c r="AA22" s="45">
        <v>9.6</v>
      </c>
      <c r="AB22" s="45">
        <v>9.6</v>
      </c>
      <c r="AC22" s="45">
        <v>9.6</v>
      </c>
      <c r="AD22" s="45">
        <v>9.6</v>
      </c>
      <c r="AE22" s="45">
        <v>9.6</v>
      </c>
      <c r="AF22" s="45">
        <v>9.6</v>
      </c>
      <c r="AG22" s="50">
        <v>25</v>
      </c>
      <c r="AH22" s="47">
        <f t="shared" si="4"/>
        <v>9.6</v>
      </c>
      <c r="AI22" s="48">
        <f t="shared" si="5"/>
        <v>9.6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0">
        <v>25</v>
      </c>
      <c r="AH23" s="47">
        <f t="shared" si="4"/>
        <v>10</v>
      </c>
      <c r="AI23" s="48">
        <f t="shared" si="5"/>
        <v>10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4"/>
        <v>6</v>
      </c>
      <c r="AI24" s="48">
        <f t="shared" si="5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4"/>
        <v>7.8</v>
      </c>
      <c r="AI25" s="48">
        <f t="shared" si="5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6.6</v>
      </c>
      <c r="C26" s="45">
        <v>6.6</v>
      </c>
      <c r="D26" s="45">
        <v>6.6</v>
      </c>
      <c r="E26" s="45">
        <v>6.6</v>
      </c>
      <c r="F26" s="45">
        <v>6.6</v>
      </c>
      <c r="G26" s="45">
        <v>6.6</v>
      </c>
      <c r="H26" s="45">
        <v>6.6</v>
      </c>
      <c r="I26" s="45">
        <v>6.6</v>
      </c>
      <c r="J26" s="45">
        <v>6.6</v>
      </c>
      <c r="K26" s="45">
        <v>6.6</v>
      </c>
      <c r="L26" s="45">
        <v>6.6</v>
      </c>
      <c r="M26" s="45">
        <v>6.6</v>
      </c>
      <c r="N26" s="45">
        <v>6.6</v>
      </c>
      <c r="O26" s="45">
        <v>6.6</v>
      </c>
      <c r="P26" s="45">
        <v>6.6</v>
      </c>
      <c r="Q26" s="45">
        <v>6.6</v>
      </c>
      <c r="R26" s="45">
        <v>6.6</v>
      </c>
      <c r="S26" s="45">
        <v>6.6</v>
      </c>
      <c r="T26" s="45">
        <v>6.6</v>
      </c>
      <c r="U26" s="45">
        <v>6.6</v>
      </c>
      <c r="V26" s="45">
        <v>6.6</v>
      </c>
      <c r="W26" s="45">
        <v>6.6</v>
      </c>
      <c r="X26" s="45">
        <v>6.6</v>
      </c>
      <c r="Y26" s="45">
        <v>6.6</v>
      </c>
      <c r="Z26" s="45">
        <v>6.6</v>
      </c>
      <c r="AA26" s="45">
        <v>6.6</v>
      </c>
      <c r="AB26" s="45">
        <v>6.6</v>
      </c>
      <c r="AC26" s="45">
        <v>6.6</v>
      </c>
      <c r="AD26" s="45">
        <v>6.6</v>
      </c>
      <c r="AE26" s="45">
        <v>6.6</v>
      </c>
      <c r="AF26" s="45">
        <v>6.6</v>
      </c>
      <c r="AG26" s="50">
        <v>23.5</v>
      </c>
      <c r="AH26" s="47">
        <f t="shared" si="4"/>
        <v>6.6</v>
      </c>
      <c r="AI26" s="48">
        <f t="shared" si="5"/>
        <v>6.6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4"/>
        <v>7</v>
      </c>
      <c r="AI27" s="48">
        <f t="shared" si="5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4"/>
        <v>7</v>
      </c>
      <c r="AI28" s="48">
        <f t="shared" si="5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4"/>
        <v>8</v>
      </c>
      <c r="AI29" s="48">
        <f t="shared" si="5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11.1</v>
      </c>
      <c r="C30" s="45">
        <v>11.1</v>
      </c>
      <c r="D30" s="45">
        <v>11.1</v>
      </c>
      <c r="E30" s="45">
        <v>11.1</v>
      </c>
      <c r="F30" s="45">
        <v>11.1</v>
      </c>
      <c r="G30" s="45">
        <v>11.1</v>
      </c>
      <c r="H30" s="45">
        <v>11.1</v>
      </c>
      <c r="I30" s="45">
        <v>11.1</v>
      </c>
      <c r="J30" s="45">
        <v>11.1</v>
      </c>
      <c r="K30" s="45">
        <v>11.1</v>
      </c>
      <c r="L30" s="45">
        <v>11.1</v>
      </c>
      <c r="M30" s="45">
        <v>11.1</v>
      </c>
      <c r="N30" s="45">
        <v>11.1</v>
      </c>
      <c r="O30" s="45">
        <v>11.1</v>
      </c>
      <c r="P30" s="45">
        <v>11.1</v>
      </c>
      <c r="Q30" s="45">
        <v>11.1</v>
      </c>
      <c r="R30" s="45">
        <v>11.1</v>
      </c>
      <c r="S30" s="45">
        <v>11.1</v>
      </c>
      <c r="T30" s="45">
        <v>11.1</v>
      </c>
      <c r="U30" s="45">
        <v>11.1</v>
      </c>
      <c r="V30" s="45">
        <v>11.1</v>
      </c>
      <c r="W30" s="45">
        <v>11.1</v>
      </c>
      <c r="X30" s="45">
        <v>11.1</v>
      </c>
      <c r="Y30" s="45">
        <v>11.1</v>
      </c>
      <c r="Z30" s="45">
        <v>11.1</v>
      </c>
      <c r="AA30" s="45">
        <v>11.1</v>
      </c>
      <c r="AB30" s="45">
        <v>11.1</v>
      </c>
      <c r="AC30" s="45">
        <v>11.1</v>
      </c>
      <c r="AD30" s="45">
        <v>11.1</v>
      </c>
      <c r="AE30" s="45">
        <v>11.1</v>
      </c>
      <c r="AF30" s="45">
        <v>11.1</v>
      </c>
      <c r="AG30" s="50">
        <v>22</v>
      </c>
      <c r="AH30" s="47">
        <f t="shared" si="4"/>
        <v>11.1</v>
      </c>
      <c r="AI30" s="48">
        <f t="shared" si="5"/>
        <v>11.1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4"/>
        <v>7</v>
      </c>
      <c r="AI31" s="48">
        <f t="shared" si="5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4"/>
        <v>3.8</v>
      </c>
      <c r="AI32" s="48">
        <f t="shared" si="5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ref="AH33" si="8">MAX(B33:AF33)</f>
        <v>7</v>
      </c>
      <c r="AI33" s="48">
        <f t="shared" ref="AI33" si="9">MIN(B33:AF33)</f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4"/>
        <v>6.2</v>
      </c>
      <c r="AI34" s="48">
        <f t="shared" si="5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4"/>
        <v>0</v>
      </c>
      <c r="AI35" s="48">
        <f t="shared" si="5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4"/>
        <v>5</v>
      </c>
      <c r="AI36" s="48">
        <f t="shared" si="5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4"/>
        <v>7</v>
      </c>
      <c r="AI37" s="48">
        <f t="shared" si="5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4"/>
        <v>7</v>
      </c>
      <c r="AI38" s="48">
        <f t="shared" si="5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4"/>
        <v>7</v>
      </c>
      <c r="AI39" s="48">
        <f t="shared" si="5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4"/>
        <v>6</v>
      </c>
      <c r="AI40" s="48">
        <f t="shared" si="5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4"/>
        <v>5.2</v>
      </c>
      <c r="AI41" s="48">
        <f t="shared" si="5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8.5</v>
      </c>
      <c r="AA42" s="45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4"/>
        <v>8.5</v>
      </c>
      <c r="AI42" s="48">
        <f t="shared" si="5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4"/>
        <v>4</v>
      </c>
      <c r="AI43" s="48">
        <f t="shared" si="5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ref="AH44" si="10">MAX(B44:AF44)</f>
        <v>3.5</v>
      </c>
      <c r="AI44" s="48">
        <f t="shared" ref="AI44" si="11">MIN(B44:AF44)</f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1</v>
      </c>
      <c r="O45" s="45">
        <v>1</v>
      </c>
      <c r="P45" s="45">
        <v>1</v>
      </c>
      <c r="Q45" s="45">
        <v>1</v>
      </c>
      <c r="R45" s="45">
        <v>1</v>
      </c>
      <c r="S45" s="45">
        <v>1</v>
      </c>
      <c r="T45" s="45">
        <v>1</v>
      </c>
      <c r="U45" s="45">
        <v>1</v>
      </c>
      <c r="V45" s="45">
        <v>1</v>
      </c>
      <c r="W45" s="45">
        <v>1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4"/>
        <v>1</v>
      </c>
      <c r="AI45" s="48">
        <f t="shared" si="5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4"/>
        <v>100</v>
      </c>
      <c r="AI46" s="48">
        <f t="shared" si="5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4"/>
        <v>0</v>
      </c>
      <c r="AI47" s="48">
        <f t="shared" si="5"/>
        <v>0</v>
      </c>
      <c r="AK47" s="49"/>
    </row>
    <row r="48" spans="1:88" ht="15.75" thickBot="1" x14ac:dyDescent="0.3">
      <c r="A48" s="59" t="s">
        <v>52</v>
      </c>
      <c r="B48" s="60">
        <f t="shared" ref="B48:AG48" si="12">SUM(B12:B46)</f>
        <v>375.8</v>
      </c>
      <c r="C48" s="60">
        <f t="shared" si="12"/>
        <v>375.8</v>
      </c>
      <c r="D48" s="60">
        <f t="shared" si="12"/>
        <v>375.8</v>
      </c>
      <c r="E48" s="60">
        <f t="shared" si="12"/>
        <v>375.8</v>
      </c>
      <c r="F48" s="60">
        <f t="shared" si="12"/>
        <v>375.8</v>
      </c>
      <c r="G48" s="60">
        <f t="shared" si="12"/>
        <v>375.8</v>
      </c>
      <c r="H48" s="60">
        <f t="shared" si="12"/>
        <v>375.8</v>
      </c>
      <c r="I48" s="60">
        <f t="shared" si="12"/>
        <v>375.8</v>
      </c>
      <c r="J48" s="60">
        <f t="shared" si="12"/>
        <v>375.8</v>
      </c>
      <c r="K48" s="60">
        <f t="shared" si="12"/>
        <v>375.8</v>
      </c>
      <c r="L48" s="60">
        <f t="shared" si="12"/>
        <v>375.8</v>
      </c>
      <c r="M48" s="60">
        <f t="shared" si="12"/>
        <v>375.8</v>
      </c>
      <c r="N48" s="60">
        <f t="shared" si="12"/>
        <v>376.8</v>
      </c>
      <c r="O48" s="60">
        <f t="shared" si="12"/>
        <v>376.8</v>
      </c>
      <c r="P48" s="60">
        <f t="shared" si="12"/>
        <v>376.8</v>
      </c>
      <c r="Q48" s="60">
        <f t="shared" si="12"/>
        <v>376.8</v>
      </c>
      <c r="R48" s="60">
        <f t="shared" si="12"/>
        <v>376.8</v>
      </c>
      <c r="S48" s="60">
        <f t="shared" si="12"/>
        <v>376.8</v>
      </c>
      <c r="T48" s="60">
        <f t="shared" si="12"/>
        <v>376.8</v>
      </c>
      <c r="U48" s="60">
        <f t="shared" si="12"/>
        <v>376.8</v>
      </c>
      <c r="V48" s="60">
        <f t="shared" si="12"/>
        <v>376.8</v>
      </c>
      <c r="W48" s="60">
        <f t="shared" si="12"/>
        <v>376.8</v>
      </c>
      <c r="X48" s="60">
        <f t="shared" si="12"/>
        <v>375.8</v>
      </c>
      <c r="Y48" s="60">
        <f t="shared" si="12"/>
        <v>375.8</v>
      </c>
      <c r="Z48" s="60">
        <f t="shared" si="12"/>
        <v>375.8</v>
      </c>
      <c r="AA48" s="60">
        <f t="shared" si="12"/>
        <v>375.8</v>
      </c>
      <c r="AB48" s="60">
        <f t="shared" si="12"/>
        <v>375.8</v>
      </c>
      <c r="AC48" s="60">
        <f t="shared" si="12"/>
        <v>375.8</v>
      </c>
      <c r="AD48" s="60">
        <f t="shared" si="12"/>
        <v>375.8</v>
      </c>
      <c r="AE48" s="60">
        <f t="shared" si="12"/>
        <v>375.8</v>
      </c>
      <c r="AF48" s="60">
        <f t="shared" si="12"/>
        <v>375.8</v>
      </c>
      <c r="AG48" s="61">
        <f t="shared" si="12"/>
        <v>875.68</v>
      </c>
      <c r="AH48" s="47">
        <f t="shared" si="4"/>
        <v>376.8</v>
      </c>
      <c r="AI48" s="48">
        <f t="shared" si="5"/>
        <v>375.8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60</v>
      </c>
      <c r="J49" s="45">
        <v>228</v>
      </c>
      <c r="K49" s="45">
        <v>365</v>
      </c>
      <c r="L49" s="45">
        <v>370</v>
      </c>
      <c r="M49" s="63">
        <v>360</v>
      </c>
      <c r="N49" s="63">
        <v>170</v>
      </c>
      <c r="O49" s="45">
        <v>120</v>
      </c>
      <c r="P49" s="45">
        <v>30</v>
      </c>
      <c r="Q49" s="45">
        <v>70</v>
      </c>
      <c r="R49" s="45">
        <v>50</v>
      </c>
      <c r="S49" s="45">
        <v>50</v>
      </c>
      <c r="T49" s="45">
        <v>15</v>
      </c>
      <c r="U49" s="45">
        <v>15</v>
      </c>
      <c r="V49" s="45">
        <v>15</v>
      </c>
      <c r="W49" s="45">
        <v>15</v>
      </c>
      <c r="X49" s="45">
        <v>175</v>
      </c>
      <c r="Y49" s="45">
        <v>270</v>
      </c>
      <c r="Z49" s="45">
        <v>320</v>
      </c>
      <c r="AA49" s="45">
        <v>290</v>
      </c>
      <c r="AB49" s="45">
        <v>110</v>
      </c>
      <c r="AC49" s="45">
        <v>70</v>
      </c>
      <c r="AD49" s="45">
        <v>20</v>
      </c>
      <c r="AE49" s="45">
        <v>0</v>
      </c>
      <c r="AF49" s="45">
        <v>0</v>
      </c>
      <c r="AG49" s="51">
        <v>456</v>
      </c>
      <c r="AH49" s="47">
        <f t="shared" si="4"/>
        <v>370</v>
      </c>
      <c r="AI49" s="48">
        <f t="shared" si="5"/>
        <v>0</v>
      </c>
      <c r="AK49" s="49"/>
    </row>
    <row r="50" spans="1:41" x14ac:dyDescent="0.25">
      <c r="A50" s="64" t="s">
        <v>54</v>
      </c>
      <c r="B50" s="65">
        <v>28</v>
      </c>
      <c r="C50" s="65">
        <v>28</v>
      </c>
      <c r="D50" s="65">
        <v>28</v>
      </c>
      <c r="E50" s="65">
        <v>28</v>
      </c>
      <c r="F50" s="65">
        <v>28</v>
      </c>
      <c r="G50" s="65">
        <v>28</v>
      </c>
      <c r="H50" s="65">
        <v>28</v>
      </c>
      <c r="I50" s="65">
        <v>28</v>
      </c>
      <c r="J50" s="65">
        <v>28</v>
      </c>
      <c r="K50" s="65">
        <v>28</v>
      </c>
      <c r="L50" s="65">
        <v>28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4"/>
        <v>28</v>
      </c>
      <c r="AI50" s="48">
        <f t="shared" si="5"/>
        <v>27</v>
      </c>
      <c r="AK50" s="49"/>
    </row>
    <row r="51" spans="1:41" ht="15.75" thickBot="1" x14ac:dyDescent="0.3">
      <c r="A51" s="66" t="s">
        <v>55</v>
      </c>
      <c r="B51" s="67">
        <v>10</v>
      </c>
      <c r="C51" s="67">
        <v>10</v>
      </c>
      <c r="D51" s="67">
        <v>10</v>
      </c>
      <c r="E51" s="67">
        <v>10</v>
      </c>
      <c r="F51" s="67">
        <v>10</v>
      </c>
      <c r="G51" s="67">
        <v>9.1999999999999993</v>
      </c>
      <c r="H51" s="67">
        <v>9.1999999999999993</v>
      </c>
      <c r="I51" s="67">
        <v>9.1999999999999993</v>
      </c>
      <c r="J51" s="67">
        <v>16.100000000000001</v>
      </c>
      <c r="K51" s="67">
        <v>16.2</v>
      </c>
      <c r="L51" s="67">
        <v>16.100000000000001</v>
      </c>
      <c r="M51" s="67">
        <v>16.100000000000001</v>
      </c>
      <c r="N51" s="67">
        <v>11.2</v>
      </c>
      <c r="O51" s="67">
        <v>11.2</v>
      </c>
      <c r="P51" s="67">
        <v>11</v>
      </c>
      <c r="Q51" s="67">
        <v>11</v>
      </c>
      <c r="R51" s="67">
        <v>11</v>
      </c>
      <c r="S51" s="67">
        <v>11</v>
      </c>
      <c r="T51" s="67">
        <v>11</v>
      </c>
      <c r="U51" s="67">
        <v>11</v>
      </c>
      <c r="V51" s="67">
        <v>11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68">
        <v>22.1</v>
      </c>
      <c r="AH51" s="47">
        <f t="shared" si="4"/>
        <v>16.2</v>
      </c>
      <c r="AI51" s="48">
        <f t="shared" si="5"/>
        <v>0</v>
      </c>
      <c r="AK51" s="49"/>
    </row>
    <row r="52" spans="1:41" ht="15.75" thickBot="1" x14ac:dyDescent="0.3">
      <c r="A52" s="69" t="s">
        <v>56</v>
      </c>
      <c r="B52" s="60">
        <f t="shared" ref="B52" si="13">SUM(B49:B51)</f>
        <v>38</v>
      </c>
      <c r="C52" s="60">
        <f t="shared" ref="C52:AG52" si="14">SUM(C49:C51)</f>
        <v>38</v>
      </c>
      <c r="D52" s="60">
        <f t="shared" si="14"/>
        <v>38</v>
      </c>
      <c r="E52" s="60">
        <f t="shared" si="14"/>
        <v>38</v>
      </c>
      <c r="F52" s="60">
        <f t="shared" si="14"/>
        <v>38</v>
      </c>
      <c r="G52" s="60">
        <f t="shared" si="14"/>
        <v>37.200000000000003</v>
      </c>
      <c r="H52" s="60">
        <f t="shared" si="14"/>
        <v>37.200000000000003</v>
      </c>
      <c r="I52" s="60">
        <f t="shared" si="14"/>
        <v>97.2</v>
      </c>
      <c r="J52" s="60">
        <f t="shared" si="14"/>
        <v>272.10000000000002</v>
      </c>
      <c r="K52" s="60">
        <f t="shared" si="14"/>
        <v>409.2</v>
      </c>
      <c r="L52" s="60">
        <f t="shared" si="14"/>
        <v>414.1</v>
      </c>
      <c r="M52" s="60">
        <f t="shared" si="14"/>
        <v>403.1</v>
      </c>
      <c r="N52" s="60">
        <f t="shared" si="14"/>
        <v>208.2</v>
      </c>
      <c r="O52" s="60">
        <f t="shared" si="14"/>
        <v>158.19999999999999</v>
      </c>
      <c r="P52" s="60">
        <f t="shared" si="14"/>
        <v>68</v>
      </c>
      <c r="Q52" s="60">
        <f t="shared" si="14"/>
        <v>108</v>
      </c>
      <c r="R52" s="60">
        <f t="shared" si="14"/>
        <v>88</v>
      </c>
      <c r="S52" s="60">
        <f t="shared" si="14"/>
        <v>88</v>
      </c>
      <c r="T52" s="60">
        <f t="shared" si="14"/>
        <v>53</v>
      </c>
      <c r="U52" s="60">
        <f t="shared" si="14"/>
        <v>53</v>
      </c>
      <c r="V52" s="60">
        <f t="shared" si="14"/>
        <v>53</v>
      </c>
      <c r="W52" s="60">
        <f t="shared" si="14"/>
        <v>42</v>
      </c>
      <c r="X52" s="60">
        <f t="shared" si="14"/>
        <v>202</v>
      </c>
      <c r="Y52" s="60">
        <f t="shared" si="14"/>
        <v>297</v>
      </c>
      <c r="Z52" s="60">
        <f t="shared" si="14"/>
        <v>347</v>
      </c>
      <c r="AA52" s="60">
        <f t="shared" si="14"/>
        <v>317</v>
      </c>
      <c r="AB52" s="60">
        <f t="shared" si="14"/>
        <v>137</v>
      </c>
      <c r="AC52" s="60">
        <f t="shared" si="14"/>
        <v>97</v>
      </c>
      <c r="AD52" s="60">
        <f t="shared" si="14"/>
        <v>47</v>
      </c>
      <c r="AE52" s="60">
        <f t="shared" si="14"/>
        <v>27</v>
      </c>
      <c r="AF52" s="60">
        <f t="shared" si="14"/>
        <v>27</v>
      </c>
      <c r="AG52" s="61">
        <f t="shared" si="14"/>
        <v>538.1</v>
      </c>
      <c r="AH52" s="47">
        <f t="shared" si="4"/>
        <v>414.1</v>
      </c>
      <c r="AI52" s="48">
        <f t="shared" si="5"/>
        <v>27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23.1</v>
      </c>
      <c r="H53" s="45">
        <v>47.9</v>
      </c>
      <c r="I53" s="45">
        <v>22.5</v>
      </c>
      <c r="J53" s="45">
        <v>70.8</v>
      </c>
      <c r="K53" s="45">
        <v>92</v>
      </c>
      <c r="L53" s="45">
        <v>97.4</v>
      </c>
      <c r="M53" s="45">
        <v>97.3</v>
      </c>
      <c r="N53" s="45">
        <v>73.099999999999994</v>
      </c>
      <c r="O53" s="45">
        <v>91.3</v>
      </c>
      <c r="P53" s="45">
        <v>86.1</v>
      </c>
      <c r="Q53" s="45">
        <v>86.2</v>
      </c>
      <c r="R53" s="45">
        <v>72.2</v>
      </c>
      <c r="S53" s="45">
        <v>80</v>
      </c>
      <c r="T53" s="45">
        <v>90</v>
      </c>
      <c r="U53" s="45">
        <v>90</v>
      </c>
      <c r="V53" s="45">
        <v>90</v>
      </c>
      <c r="W53" s="45">
        <v>105</v>
      </c>
      <c r="X53" s="45">
        <v>105</v>
      </c>
      <c r="Y53" s="45">
        <v>120</v>
      </c>
      <c r="Z53" s="45">
        <v>135</v>
      </c>
      <c r="AA53" s="45">
        <v>88.9</v>
      </c>
      <c r="AB53" s="45">
        <v>81.2</v>
      </c>
      <c r="AC53" s="45">
        <v>81.2</v>
      </c>
      <c r="AD53" s="45">
        <v>48</v>
      </c>
      <c r="AE53" s="45">
        <v>0</v>
      </c>
      <c r="AF53" s="45">
        <v>0</v>
      </c>
      <c r="AG53" s="51">
        <v>144</v>
      </c>
      <c r="AH53" s="47">
        <f t="shared" si="4"/>
        <v>135</v>
      </c>
      <c r="AI53" s="48">
        <f t="shared" si="5"/>
        <v>0</v>
      </c>
      <c r="AK53" s="49"/>
    </row>
    <row r="54" spans="1:41" x14ac:dyDescent="0.25">
      <c r="A54" s="53" t="s">
        <v>259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25</v>
      </c>
      <c r="J54" s="65">
        <v>55.6</v>
      </c>
      <c r="K54" s="65">
        <v>64.599999999999994</v>
      </c>
      <c r="L54" s="65">
        <v>64.8</v>
      </c>
      <c r="M54" s="65">
        <v>59</v>
      </c>
      <c r="N54" s="65">
        <v>48.4</v>
      </c>
      <c r="O54" s="65">
        <v>69.5</v>
      </c>
      <c r="P54" s="65">
        <v>45.7</v>
      </c>
      <c r="Q54" s="65">
        <v>45.6</v>
      </c>
      <c r="R54" s="65">
        <v>45.6</v>
      </c>
      <c r="S54" s="45">
        <v>34.299999999999997</v>
      </c>
      <c r="T54" s="45">
        <v>0</v>
      </c>
      <c r="U54" s="45">
        <v>0</v>
      </c>
      <c r="V54" s="45">
        <v>0</v>
      </c>
      <c r="W54" s="45">
        <v>35</v>
      </c>
      <c r="X54" s="45">
        <v>35</v>
      </c>
      <c r="Y54" s="45">
        <v>61</v>
      </c>
      <c r="Z54" s="45">
        <v>71.5</v>
      </c>
      <c r="AA54" s="45">
        <v>50.3</v>
      </c>
      <c r="AB54" s="45">
        <v>67</v>
      </c>
      <c r="AC54" s="45">
        <v>33</v>
      </c>
      <c r="AD54" s="45">
        <v>34</v>
      </c>
      <c r="AE54" s="45">
        <v>0</v>
      </c>
      <c r="AF54" s="45">
        <v>0</v>
      </c>
      <c r="AG54" s="54">
        <v>70</v>
      </c>
      <c r="AH54" s="47">
        <f t="shared" si="4"/>
        <v>71.5</v>
      </c>
      <c r="AI54" s="48">
        <f t="shared" si="5"/>
        <v>0</v>
      </c>
      <c r="AK54" s="49"/>
    </row>
    <row r="55" spans="1:41" x14ac:dyDescent="0.25">
      <c r="A55" s="53" t="s">
        <v>260</v>
      </c>
      <c r="B55" s="65">
        <v>16.399999999999999</v>
      </c>
      <c r="C55" s="65">
        <v>16.399999999999999</v>
      </c>
      <c r="D55" s="65">
        <v>0</v>
      </c>
      <c r="E55" s="65">
        <v>0</v>
      </c>
      <c r="F55" s="65">
        <v>0</v>
      </c>
      <c r="G55" s="65">
        <v>16</v>
      </c>
      <c r="H55" s="65">
        <v>45.3</v>
      </c>
      <c r="I55" s="65">
        <v>33.700000000000003</v>
      </c>
      <c r="J55" s="65">
        <v>69.2</v>
      </c>
      <c r="K55" s="65">
        <v>69</v>
      </c>
      <c r="L55" s="65">
        <v>63.5</v>
      </c>
      <c r="M55" s="65">
        <v>63.1</v>
      </c>
      <c r="N55" s="65">
        <v>45.9</v>
      </c>
      <c r="O55" s="65">
        <v>22.8</v>
      </c>
      <c r="P55" s="65">
        <v>21.8</v>
      </c>
      <c r="Q55" s="65">
        <v>22.4</v>
      </c>
      <c r="R55" s="65">
        <v>22.4</v>
      </c>
      <c r="S55" s="45">
        <v>22</v>
      </c>
      <c r="T55" s="45">
        <v>22</v>
      </c>
      <c r="U55" s="45">
        <v>22</v>
      </c>
      <c r="V55" s="45">
        <v>22</v>
      </c>
      <c r="W55" s="45">
        <v>64</v>
      </c>
      <c r="X55" s="45">
        <v>50</v>
      </c>
      <c r="Y55" s="45">
        <v>64</v>
      </c>
      <c r="Z55" s="45">
        <v>59</v>
      </c>
      <c r="AA55" s="45">
        <v>68.5</v>
      </c>
      <c r="AB55" s="45">
        <v>68.5</v>
      </c>
      <c r="AC55" s="45">
        <v>68.5</v>
      </c>
      <c r="AD55" s="45">
        <v>46</v>
      </c>
      <c r="AE55" s="45">
        <v>32</v>
      </c>
      <c r="AF55" s="45">
        <v>0</v>
      </c>
      <c r="AG55" s="54">
        <v>69</v>
      </c>
      <c r="AH55" s="47">
        <f t="shared" si="4"/>
        <v>69.2</v>
      </c>
      <c r="AI55" s="48">
        <f t="shared" si="5"/>
        <v>0</v>
      </c>
      <c r="AK55" s="49"/>
    </row>
    <row r="56" spans="1:41" x14ac:dyDescent="0.25">
      <c r="A56" s="53" t="s">
        <v>60</v>
      </c>
      <c r="B56" s="65">
        <v>39.799999999999997</v>
      </c>
      <c r="C56" s="65">
        <v>39.799999999999997</v>
      </c>
      <c r="D56" s="65">
        <v>39.799999999999997</v>
      </c>
      <c r="E56" s="65">
        <v>39.799999999999997</v>
      </c>
      <c r="F56" s="65">
        <v>39.799999999999997</v>
      </c>
      <c r="G56" s="56">
        <v>41.1</v>
      </c>
      <c r="H56" s="56">
        <v>40.799999999999997</v>
      </c>
      <c r="I56" s="56">
        <v>40.799999999999997</v>
      </c>
      <c r="J56" s="56">
        <v>41.1</v>
      </c>
      <c r="K56" s="56">
        <v>41.1</v>
      </c>
      <c r="L56" s="56">
        <v>41.1</v>
      </c>
      <c r="M56" s="65">
        <v>39</v>
      </c>
      <c r="N56" s="65">
        <v>39.299999999999997</v>
      </c>
      <c r="O56" s="65">
        <v>41.3</v>
      </c>
      <c r="P56" s="65">
        <v>45.1</v>
      </c>
      <c r="Q56" s="65">
        <v>42.1</v>
      </c>
      <c r="R56" s="65">
        <v>42.1</v>
      </c>
      <c r="S56" s="45">
        <v>40</v>
      </c>
      <c r="T56" s="45">
        <v>40</v>
      </c>
      <c r="U56" s="45">
        <v>40</v>
      </c>
      <c r="V56" s="45">
        <v>40</v>
      </c>
      <c r="W56" s="45">
        <v>40</v>
      </c>
      <c r="X56" s="65">
        <v>40</v>
      </c>
      <c r="Y56" s="65">
        <v>40</v>
      </c>
      <c r="Z56" s="65">
        <v>40</v>
      </c>
      <c r="AA56" s="65">
        <v>40</v>
      </c>
      <c r="AB56" s="65">
        <v>35</v>
      </c>
      <c r="AC56" s="65">
        <v>35</v>
      </c>
      <c r="AD56" s="65">
        <v>35</v>
      </c>
      <c r="AE56" s="65">
        <v>35</v>
      </c>
      <c r="AF56" s="65">
        <v>35</v>
      </c>
      <c r="AG56" s="54">
        <v>60</v>
      </c>
      <c r="AH56" s="47">
        <f t="shared" si="4"/>
        <v>45.1</v>
      </c>
      <c r="AI56" s="48">
        <f t="shared" si="5"/>
        <v>35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56">
        <v>13</v>
      </c>
      <c r="H57" s="56">
        <v>13</v>
      </c>
      <c r="I57" s="56">
        <v>13</v>
      </c>
      <c r="J57" s="56">
        <v>15</v>
      </c>
      <c r="K57" s="56">
        <v>15</v>
      </c>
      <c r="L57" s="56">
        <v>15</v>
      </c>
      <c r="M57" s="65">
        <v>25</v>
      </c>
      <c r="N57" s="65">
        <v>25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13</v>
      </c>
      <c r="U57" s="65">
        <v>13</v>
      </c>
      <c r="V57" s="65">
        <v>13</v>
      </c>
      <c r="W57" s="65">
        <v>13</v>
      </c>
      <c r="X57" s="65">
        <v>13</v>
      </c>
      <c r="Y57" s="65">
        <v>13</v>
      </c>
      <c r="Z57" s="65">
        <v>13</v>
      </c>
      <c r="AA57" s="65">
        <v>13</v>
      </c>
      <c r="AB57" s="65">
        <v>13</v>
      </c>
      <c r="AC57" s="65">
        <v>13</v>
      </c>
      <c r="AD57" s="65">
        <v>13</v>
      </c>
      <c r="AE57" s="65">
        <v>0</v>
      </c>
      <c r="AF57" s="65">
        <v>0</v>
      </c>
      <c r="AG57" s="54">
        <v>30</v>
      </c>
      <c r="AH57" s="47">
        <f t="shared" si="4"/>
        <v>25</v>
      </c>
      <c r="AI57" s="48">
        <f t="shared" si="5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2</v>
      </c>
      <c r="N58" s="45">
        <v>4</v>
      </c>
      <c r="O58" s="45">
        <v>8</v>
      </c>
      <c r="P58" s="65">
        <v>10</v>
      </c>
      <c r="Q58" s="65">
        <v>10</v>
      </c>
      <c r="R58" s="65">
        <v>10</v>
      </c>
      <c r="S58" s="65">
        <v>10</v>
      </c>
      <c r="T58" s="65">
        <v>10</v>
      </c>
      <c r="U58" s="65">
        <v>10</v>
      </c>
      <c r="V58" s="65">
        <v>10</v>
      </c>
      <c r="W58" s="65">
        <v>10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4"/>
        <v>10</v>
      </c>
      <c r="AI58" s="48">
        <f t="shared" si="5"/>
        <v>0</v>
      </c>
      <c r="AK58" s="49"/>
    </row>
    <row r="59" spans="1:41" x14ac:dyDescent="0.25">
      <c r="A59" s="53" t="s">
        <v>63</v>
      </c>
      <c r="B59" s="65">
        <v>14</v>
      </c>
      <c r="C59" s="65">
        <v>14</v>
      </c>
      <c r="D59" s="65">
        <v>14</v>
      </c>
      <c r="E59" s="65">
        <v>14</v>
      </c>
      <c r="F59" s="65">
        <v>14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14</v>
      </c>
      <c r="Q59" s="65">
        <v>14</v>
      </c>
      <c r="R59" s="65">
        <v>14</v>
      </c>
      <c r="S59" s="65">
        <v>14</v>
      </c>
      <c r="T59" s="65">
        <v>14</v>
      </c>
      <c r="U59" s="65">
        <v>14</v>
      </c>
      <c r="V59" s="65">
        <v>14</v>
      </c>
      <c r="W59" s="65">
        <v>14</v>
      </c>
      <c r="X59" s="65">
        <v>14</v>
      </c>
      <c r="Y59" s="65">
        <v>14</v>
      </c>
      <c r="Z59" s="65">
        <v>14</v>
      </c>
      <c r="AA59" s="65">
        <v>14</v>
      </c>
      <c r="AB59" s="65">
        <v>14</v>
      </c>
      <c r="AC59" s="65">
        <v>14</v>
      </c>
      <c r="AD59" s="65">
        <v>14</v>
      </c>
      <c r="AE59" s="65">
        <v>14</v>
      </c>
      <c r="AF59" s="65">
        <v>14</v>
      </c>
      <c r="AG59" s="54">
        <v>24</v>
      </c>
      <c r="AH59" s="47">
        <f t="shared" si="4"/>
        <v>14</v>
      </c>
      <c r="AI59" s="48">
        <f t="shared" si="5"/>
        <v>14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4"/>
        <v>3.2</v>
      </c>
      <c r="AI60" s="48">
        <f t="shared" si="5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9.6999999999999993</v>
      </c>
      <c r="C61" s="65">
        <v>9.6999999999999993</v>
      </c>
      <c r="D61" s="65">
        <v>9.6999999999999993</v>
      </c>
      <c r="E61" s="65">
        <v>9.6999999999999993</v>
      </c>
      <c r="F61" s="65">
        <v>9.6999999999999993</v>
      </c>
      <c r="G61" s="65">
        <v>9.6999999999999993</v>
      </c>
      <c r="H61" s="65">
        <v>9.6999999999999993</v>
      </c>
      <c r="I61" s="65">
        <v>9.6999999999999993</v>
      </c>
      <c r="J61" s="65">
        <v>9.6999999999999993</v>
      </c>
      <c r="K61" s="65">
        <v>9.6999999999999993</v>
      </c>
      <c r="L61" s="65">
        <v>9.6999999999999993</v>
      </c>
      <c r="M61" s="65">
        <v>9.6999999999999993</v>
      </c>
      <c r="N61" s="65">
        <v>9.6999999999999993</v>
      </c>
      <c r="O61" s="65">
        <v>9.6999999999999993</v>
      </c>
      <c r="P61" s="65">
        <v>10</v>
      </c>
      <c r="Q61" s="65">
        <v>10</v>
      </c>
      <c r="R61" s="65">
        <v>10</v>
      </c>
      <c r="S61" s="65">
        <v>10</v>
      </c>
      <c r="T61" s="65">
        <v>10</v>
      </c>
      <c r="U61" s="65">
        <v>10</v>
      </c>
      <c r="V61" s="65">
        <v>10</v>
      </c>
      <c r="W61" s="65">
        <v>10</v>
      </c>
      <c r="X61" s="65">
        <v>10</v>
      </c>
      <c r="Y61" s="65">
        <v>10</v>
      </c>
      <c r="Z61" s="65">
        <v>10</v>
      </c>
      <c r="AA61" s="65">
        <v>10</v>
      </c>
      <c r="AB61" s="65">
        <v>10</v>
      </c>
      <c r="AC61" s="65">
        <v>10</v>
      </c>
      <c r="AD61" s="65">
        <v>10</v>
      </c>
      <c r="AE61" s="65">
        <v>10</v>
      </c>
      <c r="AF61" s="65">
        <v>10</v>
      </c>
      <c r="AG61" s="54">
        <v>14.1</v>
      </c>
      <c r="AH61" s="47">
        <f t="shared" si="4"/>
        <v>10</v>
      </c>
      <c r="AI61" s="48">
        <f t="shared" si="5"/>
        <v>9.6999999999999993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4.9000000000000004</v>
      </c>
      <c r="C62" s="65">
        <v>4.9000000000000004</v>
      </c>
      <c r="D62" s="65">
        <v>4.9000000000000004</v>
      </c>
      <c r="E62" s="65">
        <v>4.9000000000000004</v>
      </c>
      <c r="F62" s="65">
        <v>4.9000000000000004</v>
      </c>
      <c r="G62" s="65">
        <v>4.9000000000000004</v>
      </c>
      <c r="H62" s="65">
        <v>4.9000000000000004</v>
      </c>
      <c r="I62" s="65">
        <v>4.9000000000000004</v>
      </c>
      <c r="J62" s="65">
        <v>4.9000000000000004</v>
      </c>
      <c r="K62" s="65">
        <v>4.9000000000000004</v>
      </c>
      <c r="L62" s="65">
        <v>4.9000000000000004</v>
      </c>
      <c r="M62" s="65">
        <v>4.9000000000000004</v>
      </c>
      <c r="N62" s="65">
        <v>4.9000000000000004</v>
      </c>
      <c r="O62" s="65">
        <v>4.9000000000000004</v>
      </c>
      <c r="P62" s="65">
        <v>3.2</v>
      </c>
      <c r="Q62" s="65">
        <v>3.2</v>
      </c>
      <c r="R62" s="65">
        <v>3.2</v>
      </c>
      <c r="S62" s="65">
        <v>3.2</v>
      </c>
      <c r="T62" s="65">
        <v>3.2</v>
      </c>
      <c r="U62" s="65">
        <v>3.2</v>
      </c>
      <c r="V62" s="65">
        <v>3.2</v>
      </c>
      <c r="W62" s="65">
        <v>3.2</v>
      </c>
      <c r="X62" s="65">
        <v>3.2</v>
      </c>
      <c r="Y62" s="65">
        <v>3.2</v>
      </c>
      <c r="Z62" s="65">
        <v>3.2</v>
      </c>
      <c r="AA62" s="65">
        <v>3.2</v>
      </c>
      <c r="AB62" s="65">
        <v>3.2</v>
      </c>
      <c r="AC62" s="65">
        <v>3.2</v>
      </c>
      <c r="AD62" s="65">
        <v>3.2</v>
      </c>
      <c r="AE62" s="65">
        <v>3.2</v>
      </c>
      <c r="AF62" s="65">
        <v>3.2</v>
      </c>
      <c r="AG62" s="54">
        <v>14</v>
      </c>
      <c r="AH62" s="47">
        <f t="shared" si="4"/>
        <v>4.9000000000000004</v>
      </c>
      <c r="AI62" s="48">
        <f t="shared" si="5"/>
        <v>3.2</v>
      </c>
      <c r="AK62" s="49"/>
    </row>
    <row r="63" spans="1:41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</v>
      </c>
      <c r="Q63" s="65">
        <v>4.5</v>
      </c>
      <c r="R63" s="65">
        <v>4.5</v>
      </c>
      <c r="S63" s="65">
        <v>4.5</v>
      </c>
      <c r="T63" s="65">
        <v>4.5</v>
      </c>
      <c r="U63" s="65">
        <v>4.5</v>
      </c>
      <c r="V63" s="65">
        <v>4.5</v>
      </c>
      <c r="W63" s="65">
        <v>4.5</v>
      </c>
      <c r="X63" s="65">
        <v>4.5</v>
      </c>
      <c r="Y63" s="65">
        <v>4.5</v>
      </c>
      <c r="Z63" s="65">
        <v>4.5</v>
      </c>
      <c r="AA63" s="65">
        <v>4.5</v>
      </c>
      <c r="AB63" s="65">
        <v>4.5</v>
      </c>
      <c r="AC63" s="65">
        <v>4.5</v>
      </c>
      <c r="AD63" s="65">
        <v>4.5</v>
      </c>
      <c r="AE63" s="65">
        <v>4.5</v>
      </c>
      <c r="AF63" s="65">
        <v>4.5</v>
      </c>
      <c r="AG63" s="54">
        <v>10.050000000000001</v>
      </c>
      <c r="AH63" s="47">
        <f t="shared" si="4"/>
        <v>4.5</v>
      </c>
      <c r="AI63" s="48">
        <f t="shared" si="5"/>
        <v>4.5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4"/>
        <v>1.5</v>
      </c>
      <c r="AI64" s="48">
        <f t="shared" si="5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4"/>
        <v>3.54</v>
      </c>
      <c r="AI65" s="48">
        <f t="shared" si="5"/>
        <v>3.54</v>
      </c>
      <c r="AK65" s="49"/>
    </row>
    <row r="66" spans="1:40" ht="15.75" thickBot="1" x14ac:dyDescent="0.3">
      <c r="A66" s="74" t="s">
        <v>70</v>
      </c>
      <c r="B66" s="60">
        <f t="shared" ref="B66" si="15">SUM(B53:B65)</f>
        <v>97.54</v>
      </c>
      <c r="C66" s="60">
        <f t="shared" ref="C66:AG66" si="16">SUM(C53:C65)</f>
        <v>97.54</v>
      </c>
      <c r="D66" s="60">
        <f t="shared" si="16"/>
        <v>81.140000000000015</v>
      </c>
      <c r="E66" s="60">
        <f t="shared" si="16"/>
        <v>81.140000000000015</v>
      </c>
      <c r="F66" s="60">
        <f t="shared" si="16"/>
        <v>81.140000000000015</v>
      </c>
      <c r="G66" s="60">
        <f t="shared" si="16"/>
        <v>134.54</v>
      </c>
      <c r="H66" s="60">
        <f t="shared" si="16"/>
        <v>188.33999999999997</v>
      </c>
      <c r="I66" s="60">
        <f t="shared" si="16"/>
        <v>176.33999999999997</v>
      </c>
      <c r="J66" s="60">
        <f t="shared" si="16"/>
        <v>293.04000000000002</v>
      </c>
      <c r="K66" s="60">
        <f t="shared" si="16"/>
        <v>323.03999999999996</v>
      </c>
      <c r="L66" s="60">
        <f t="shared" si="16"/>
        <v>323.14</v>
      </c>
      <c r="M66" s="60">
        <f t="shared" si="16"/>
        <v>326.73999999999995</v>
      </c>
      <c r="N66" s="60">
        <f t="shared" si="16"/>
        <v>277.03999999999996</v>
      </c>
      <c r="O66" s="60">
        <f t="shared" si="16"/>
        <v>274.24</v>
      </c>
      <c r="P66" s="60">
        <f t="shared" si="16"/>
        <v>248.64</v>
      </c>
      <c r="Q66" s="60">
        <f t="shared" si="16"/>
        <v>246.23999999999998</v>
      </c>
      <c r="R66" s="60">
        <f t="shared" si="16"/>
        <v>232.23999999999998</v>
      </c>
      <c r="S66" s="60">
        <f t="shared" si="16"/>
        <v>226.23999999999998</v>
      </c>
      <c r="T66" s="60">
        <f t="shared" si="16"/>
        <v>214.93999999999997</v>
      </c>
      <c r="U66" s="60">
        <f t="shared" si="16"/>
        <v>214.93999999999997</v>
      </c>
      <c r="V66" s="60">
        <f t="shared" si="16"/>
        <v>214.93999999999997</v>
      </c>
      <c r="W66" s="60">
        <f t="shared" si="16"/>
        <v>306.94</v>
      </c>
      <c r="X66" s="60">
        <f t="shared" si="16"/>
        <v>282.94</v>
      </c>
      <c r="Y66" s="60">
        <f t="shared" si="16"/>
        <v>337.94</v>
      </c>
      <c r="Z66" s="60">
        <f t="shared" si="16"/>
        <v>358.44</v>
      </c>
      <c r="AA66" s="60">
        <f t="shared" si="16"/>
        <v>300.64</v>
      </c>
      <c r="AB66" s="60">
        <f t="shared" si="16"/>
        <v>304.64</v>
      </c>
      <c r="AC66" s="60">
        <f t="shared" si="16"/>
        <v>270.64</v>
      </c>
      <c r="AD66" s="60">
        <f t="shared" si="16"/>
        <v>215.93999999999997</v>
      </c>
      <c r="AE66" s="60">
        <f t="shared" si="16"/>
        <v>106.94000000000001</v>
      </c>
      <c r="AF66" s="60">
        <f t="shared" si="16"/>
        <v>74.940000000000012</v>
      </c>
      <c r="AG66" s="61">
        <f t="shared" si="16"/>
        <v>489.91</v>
      </c>
      <c r="AH66" s="47">
        <f t="shared" si="4"/>
        <v>358.44</v>
      </c>
      <c r="AI66" s="48">
        <f t="shared" si="5"/>
        <v>74.940000000000012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20</v>
      </c>
      <c r="Q67" s="45">
        <v>20</v>
      </c>
      <c r="R67" s="45">
        <v>30</v>
      </c>
      <c r="S67" s="45">
        <v>30</v>
      </c>
      <c r="T67" s="45">
        <v>40</v>
      </c>
      <c r="U67" s="45">
        <v>40</v>
      </c>
      <c r="V67" s="45">
        <v>60</v>
      </c>
      <c r="W67" s="45">
        <v>60</v>
      </c>
      <c r="X67" s="45">
        <v>60</v>
      </c>
      <c r="Y67" s="45">
        <v>50</v>
      </c>
      <c r="Z67" s="45">
        <v>50</v>
      </c>
      <c r="AA67" s="45">
        <v>40</v>
      </c>
      <c r="AB67" s="45">
        <v>60</v>
      </c>
      <c r="AC67" s="45">
        <v>60</v>
      </c>
      <c r="AD67" s="45">
        <v>20</v>
      </c>
      <c r="AE67" s="45">
        <v>0</v>
      </c>
      <c r="AF67" s="45">
        <v>0</v>
      </c>
      <c r="AG67" s="51">
        <v>60</v>
      </c>
      <c r="AH67" s="47">
        <f t="shared" si="4"/>
        <v>60</v>
      </c>
      <c r="AI67" s="48">
        <f t="shared" si="5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5.8</v>
      </c>
      <c r="Q68" s="45">
        <v>8.6999999999999993</v>
      </c>
      <c r="R68" s="45">
        <v>14</v>
      </c>
      <c r="S68" s="65">
        <v>12.2</v>
      </c>
      <c r="T68" s="65">
        <v>15</v>
      </c>
      <c r="U68" s="65">
        <v>15</v>
      </c>
      <c r="V68" s="65">
        <v>30</v>
      </c>
      <c r="W68" s="65">
        <v>30</v>
      </c>
      <c r="X68" s="65">
        <v>30</v>
      </c>
      <c r="Y68" s="65">
        <v>25</v>
      </c>
      <c r="Z68" s="65">
        <v>26</v>
      </c>
      <c r="AA68" s="65">
        <v>16.399999999999999</v>
      </c>
      <c r="AB68" s="65">
        <v>28.3</v>
      </c>
      <c r="AC68" s="65">
        <v>28.3</v>
      </c>
      <c r="AD68" s="65">
        <v>10.4</v>
      </c>
      <c r="AE68" s="65">
        <v>0</v>
      </c>
      <c r="AF68" s="65">
        <v>0</v>
      </c>
      <c r="AG68" s="54">
        <v>32</v>
      </c>
      <c r="AH68" s="47">
        <f t="shared" si="4"/>
        <v>30</v>
      </c>
      <c r="AI68" s="48">
        <f t="shared" si="5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2.1</v>
      </c>
      <c r="Q69" s="45">
        <v>3.2</v>
      </c>
      <c r="R69" s="45">
        <v>5.0999999999999996</v>
      </c>
      <c r="S69" s="67">
        <v>4.5</v>
      </c>
      <c r="T69" s="67">
        <v>5</v>
      </c>
      <c r="U69" s="67">
        <v>5</v>
      </c>
      <c r="V69" s="67">
        <v>10</v>
      </c>
      <c r="W69" s="67">
        <v>15</v>
      </c>
      <c r="X69" s="67">
        <v>10</v>
      </c>
      <c r="Y69" s="67">
        <v>8</v>
      </c>
      <c r="Z69" s="67">
        <v>9.5</v>
      </c>
      <c r="AA69" s="67">
        <v>6</v>
      </c>
      <c r="AB69" s="67">
        <v>10.3</v>
      </c>
      <c r="AC69" s="67">
        <v>10.3</v>
      </c>
      <c r="AD69" s="67">
        <v>3.8</v>
      </c>
      <c r="AE69" s="67">
        <v>0</v>
      </c>
      <c r="AF69" s="67">
        <v>0</v>
      </c>
      <c r="AG69" s="68">
        <v>14</v>
      </c>
      <c r="AH69" s="47">
        <f t="shared" si="4"/>
        <v>15</v>
      </c>
      <c r="AI69" s="48">
        <f t="shared" si="5"/>
        <v>0</v>
      </c>
      <c r="AK69" s="49"/>
    </row>
    <row r="70" spans="1:40" ht="15.75" thickBot="1" x14ac:dyDescent="0.3">
      <c r="A70" s="74" t="s">
        <v>74</v>
      </c>
      <c r="B70" s="60">
        <f t="shared" ref="B70" si="17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8">M67+M68+M69</f>
        <v>0</v>
      </c>
      <c r="N70" s="60">
        <f t="shared" si="18"/>
        <v>0</v>
      </c>
      <c r="O70" s="60">
        <f t="shared" si="18"/>
        <v>0</v>
      </c>
      <c r="P70" s="60">
        <f t="shared" si="18"/>
        <v>27.900000000000002</v>
      </c>
      <c r="Q70" s="60">
        <f t="shared" si="18"/>
        <v>31.9</v>
      </c>
      <c r="R70" s="60">
        <f t="shared" si="18"/>
        <v>49.1</v>
      </c>
      <c r="S70" s="60">
        <f t="shared" si="18"/>
        <v>46.7</v>
      </c>
      <c r="T70" s="60">
        <f t="shared" si="18"/>
        <v>60</v>
      </c>
      <c r="U70" s="60">
        <f t="shared" si="18"/>
        <v>60</v>
      </c>
      <c r="V70" s="60">
        <f t="shared" si="18"/>
        <v>100</v>
      </c>
      <c r="W70" s="60">
        <f t="shared" si="18"/>
        <v>105</v>
      </c>
      <c r="X70" s="60">
        <f t="shared" si="18"/>
        <v>100</v>
      </c>
      <c r="Y70" s="60">
        <f t="shared" si="18"/>
        <v>83</v>
      </c>
      <c r="Z70" s="60">
        <f t="shared" si="18"/>
        <v>85.5</v>
      </c>
      <c r="AA70" s="60">
        <f t="shared" si="18"/>
        <v>62.4</v>
      </c>
      <c r="AB70" s="60">
        <f t="shared" si="18"/>
        <v>98.6</v>
      </c>
      <c r="AC70" s="60">
        <f t="shared" si="18"/>
        <v>98.6</v>
      </c>
      <c r="AD70" s="60">
        <f t="shared" si="18"/>
        <v>34.199999999999996</v>
      </c>
      <c r="AE70" s="60">
        <f t="shared" si="18"/>
        <v>0</v>
      </c>
      <c r="AF70" s="60">
        <f t="shared" si="18"/>
        <v>0</v>
      </c>
      <c r="AG70" s="61">
        <f>SUM(AG67:AG69)</f>
        <v>106</v>
      </c>
      <c r="AH70" s="47">
        <f t="shared" si="4"/>
        <v>105</v>
      </c>
      <c r="AI70" s="48">
        <f t="shared" si="5"/>
        <v>0</v>
      </c>
      <c r="AK70" s="49"/>
    </row>
    <row r="71" spans="1:40" x14ac:dyDescent="0.25">
      <c r="A71" s="4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16</v>
      </c>
      <c r="AB71" s="45">
        <v>16</v>
      </c>
      <c r="AC71" s="45">
        <v>16</v>
      </c>
      <c r="AD71" s="45">
        <v>15</v>
      </c>
      <c r="AE71" s="45">
        <v>15</v>
      </c>
      <c r="AF71" s="45">
        <v>15</v>
      </c>
      <c r="AG71" s="51"/>
      <c r="AH71" s="47">
        <f t="shared" si="4"/>
        <v>16</v>
      </c>
      <c r="AI71" s="48">
        <f t="shared" si="5"/>
        <v>0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4"/>
        <v>0</v>
      </c>
      <c r="AI72" s="48">
        <f t="shared" si="5"/>
        <v>0</v>
      </c>
      <c r="AK72" s="49"/>
    </row>
    <row r="73" spans="1:40" x14ac:dyDescent="0.25">
      <c r="A73" s="53" t="s">
        <v>77</v>
      </c>
      <c r="B73" s="65">
        <v>334.2</v>
      </c>
      <c r="C73" s="65">
        <v>282</v>
      </c>
      <c r="D73" s="65">
        <v>270.5</v>
      </c>
      <c r="E73" s="65">
        <v>278</v>
      </c>
      <c r="F73" s="65">
        <v>308</v>
      </c>
      <c r="G73" s="65">
        <v>310</v>
      </c>
      <c r="H73" s="65">
        <v>329.9</v>
      </c>
      <c r="I73" s="65">
        <v>305</v>
      </c>
      <c r="J73" s="65">
        <v>117.8</v>
      </c>
      <c r="K73" s="65">
        <v>57.8</v>
      </c>
      <c r="L73" s="65">
        <v>6.9</v>
      </c>
      <c r="M73" s="65">
        <v>4.7</v>
      </c>
      <c r="N73" s="65">
        <v>178.7</v>
      </c>
      <c r="O73" s="65">
        <v>220</v>
      </c>
      <c r="P73" s="65">
        <v>364</v>
      </c>
      <c r="Q73" s="65">
        <v>336.5</v>
      </c>
      <c r="R73" s="65">
        <v>347</v>
      </c>
      <c r="S73" s="65">
        <v>355</v>
      </c>
      <c r="T73" s="65">
        <v>360</v>
      </c>
      <c r="U73" s="65">
        <v>360</v>
      </c>
      <c r="V73" s="65">
        <v>340</v>
      </c>
      <c r="W73" s="65">
        <v>218</v>
      </c>
      <c r="X73" s="65">
        <v>215</v>
      </c>
      <c r="Y73" s="65">
        <v>180</v>
      </c>
      <c r="Z73" s="65">
        <v>100</v>
      </c>
      <c r="AA73" s="65">
        <v>150</v>
      </c>
      <c r="AB73" s="65">
        <v>151</v>
      </c>
      <c r="AC73" s="65">
        <v>218</v>
      </c>
      <c r="AD73" s="65">
        <v>325</v>
      </c>
      <c r="AE73" s="65">
        <v>325</v>
      </c>
      <c r="AF73" s="65">
        <v>330</v>
      </c>
      <c r="AG73" s="75"/>
      <c r="AH73" s="47">
        <f t="shared" si="4"/>
        <v>364</v>
      </c>
      <c r="AI73" s="48">
        <f t="shared" si="5"/>
        <v>4.7</v>
      </c>
      <c r="AK73" s="49"/>
    </row>
    <row r="74" spans="1:40" x14ac:dyDescent="0.25">
      <c r="A74" s="53" t="s">
        <v>78</v>
      </c>
      <c r="B74" s="65">
        <v>53.6</v>
      </c>
      <c r="C74" s="65">
        <v>53.6</v>
      </c>
      <c r="D74" s="65">
        <v>49.3</v>
      </c>
      <c r="E74" s="76">
        <v>50</v>
      </c>
      <c r="F74" s="76">
        <v>50</v>
      </c>
      <c r="G74" s="76">
        <v>49.7</v>
      </c>
      <c r="H74" s="76">
        <v>51</v>
      </c>
      <c r="I74" s="76">
        <v>55</v>
      </c>
      <c r="J74" s="76">
        <v>52</v>
      </c>
      <c r="K74" s="76">
        <v>52</v>
      </c>
      <c r="L74" s="76">
        <v>50</v>
      </c>
      <c r="M74" s="76">
        <v>54.4</v>
      </c>
      <c r="N74" s="76">
        <v>56.4</v>
      </c>
      <c r="O74" s="76">
        <v>57.4</v>
      </c>
      <c r="P74" s="76">
        <v>57</v>
      </c>
      <c r="Q74" s="76">
        <v>59.9</v>
      </c>
      <c r="R74" s="76">
        <v>59.7</v>
      </c>
      <c r="S74" s="76">
        <v>58.9</v>
      </c>
      <c r="T74" s="76">
        <v>58.9</v>
      </c>
      <c r="U74" s="76">
        <v>58.9</v>
      </c>
      <c r="V74" s="76">
        <v>0</v>
      </c>
      <c r="W74" s="76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7">
        <f t="shared" si="4"/>
        <v>59.9</v>
      </c>
      <c r="AI74" s="48">
        <f t="shared" si="5"/>
        <v>0</v>
      </c>
      <c r="AK74" s="49"/>
    </row>
    <row r="75" spans="1:40" x14ac:dyDescent="0.25">
      <c r="A75" s="53" t="s">
        <v>79</v>
      </c>
      <c r="B75" s="45">
        <v>88</v>
      </c>
      <c r="C75" s="45">
        <v>88</v>
      </c>
      <c r="D75" s="45">
        <v>85</v>
      </c>
      <c r="E75" s="45">
        <v>85</v>
      </c>
      <c r="F75" s="45">
        <v>25</v>
      </c>
      <c r="G75" s="45">
        <v>26</v>
      </c>
      <c r="H75" s="45">
        <v>27</v>
      </c>
      <c r="I75" s="45">
        <v>75</v>
      </c>
      <c r="J75" s="45">
        <v>65</v>
      </c>
      <c r="K75" s="45">
        <v>55</v>
      </c>
      <c r="L75" s="45">
        <v>50</v>
      </c>
      <c r="M75" s="45">
        <v>70</v>
      </c>
      <c r="N75" s="45">
        <v>75</v>
      </c>
      <c r="O75" s="45">
        <v>75</v>
      </c>
      <c r="P75" s="45">
        <v>75</v>
      </c>
      <c r="Q75" s="45">
        <v>75</v>
      </c>
      <c r="R75" s="45">
        <v>75</v>
      </c>
      <c r="S75" s="45">
        <v>75</v>
      </c>
      <c r="T75" s="45">
        <v>75</v>
      </c>
      <c r="U75" s="45">
        <v>75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si="4"/>
        <v>88</v>
      </c>
      <c r="AI75" s="48">
        <f t="shared" si="5"/>
        <v>0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4"/>
        <v>5</v>
      </c>
      <c r="AI76" s="48">
        <f t="shared" si="5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4"/>
        <v>0</v>
      </c>
      <c r="AI77" s="48">
        <f t="shared" si="5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4"/>
        <v>0</v>
      </c>
      <c r="AI78" s="48">
        <f t="shared" si="5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ref="AH79:AH117" si="19">MAX(B79:AF79)</f>
        <v>0</v>
      </c>
      <c r="AI79" s="48">
        <f t="shared" ref="AI79:AI117" si="20">MIN(B79:AF79)</f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9"/>
        <v>0</v>
      </c>
      <c r="AI80" s="48">
        <f t="shared" si="2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9"/>
        <v>0</v>
      </c>
      <c r="AI81" s="48">
        <f t="shared" si="2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21">SUMIF(B71:B81,"&gt;0")</f>
        <v>480.8</v>
      </c>
      <c r="C82" s="60">
        <f t="shared" ref="C82:AF82" si="22">SUMIF(C71:C81,"&gt;0")</f>
        <v>428.6</v>
      </c>
      <c r="D82" s="60">
        <f t="shared" si="22"/>
        <v>409.8</v>
      </c>
      <c r="E82" s="60">
        <f t="shared" si="22"/>
        <v>418</v>
      </c>
      <c r="F82" s="60">
        <f t="shared" si="22"/>
        <v>388</v>
      </c>
      <c r="G82" s="60">
        <f t="shared" si="22"/>
        <v>390.7</v>
      </c>
      <c r="H82" s="60">
        <f t="shared" si="22"/>
        <v>412.9</v>
      </c>
      <c r="I82" s="60">
        <f t="shared" si="22"/>
        <v>440</v>
      </c>
      <c r="J82" s="60">
        <f t="shared" si="22"/>
        <v>239.8</v>
      </c>
      <c r="K82" s="60">
        <f t="shared" si="22"/>
        <v>169.8</v>
      </c>
      <c r="L82" s="60">
        <f t="shared" si="22"/>
        <v>111.9</v>
      </c>
      <c r="M82" s="60">
        <f t="shared" si="22"/>
        <v>134.1</v>
      </c>
      <c r="N82" s="60">
        <f t="shared" si="22"/>
        <v>315.10000000000002</v>
      </c>
      <c r="O82" s="60">
        <f t="shared" si="22"/>
        <v>357.4</v>
      </c>
      <c r="P82" s="60">
        <f t="shared" si="22"/>
        <v>501</v>
      </c>
      <c r="Q82" s="60">
        <f t="shared" si="22"/>
        <v>476.4</v>
      </c>
      <c r="R82" s="60">
        <f t="shared" si="22"/>
        <v>486.7</v>
      </c>
      <c r="S82" s="60">
        <f t="shared" si="22"/>
        <v>493.9</v>
      </c>
      <c r="T82" s="60">
        <f t="shared" si="22"/>
        <v>498.9</v>
      </c>
      <c r="U82" s="60">
        <f t="shared" si="22"/>
        <v>498.9</v>
      </c>
      <c r="V82" s="60">
        <f t="shared" si="22"/>
        <v>345</v>
      </c>
      <c r="W82" s="60">
        <f t="shared" si="22"/>
        <v>223</v>
      </c>
      <c r="X82" s="60">
        <f t="shared" si="22"/>
        <v>220</v>
      </c>
      <c r="Y82" s="60">
        <f t="shared" si="22"/>
        <v>185</v>
      </c>
      <c r="Z82" s="60">
        <f t="shared" si="22"/>
        <v>105</v>
      </c>
      <c r="AA82" s="60">
        <f t="shared" si="22"/>
        <v>171</v>
      </c>
      <c r="AB82" s="60">
        <f t="shared" si="22"/>
        <v>172</v>
      </c>
      <c r="AC82" s="60">
        <f t="shared" si="22"/>
        <v>239</v>
      </c>
      <c r="AD82" s="60">
        <f t="shared" si="22"/>
        <v>345</v>
      </c>
      <c r="AE82" s="60">
        <f t="shared" si="22"/>
        <v>345</v>
      </c>
      <c r="AF82" s="60">
        <f t="shared" si="22"/>
        <v>350</v>
      </c>
      <c r="AG82" s="88">
        <f>SUM(AG71:AG81)</f>
        <v>0</v>
      </c>
      <c r="AH82" s="47">
        <f t="shared" si="19"/>
        <v>501</v>
      </c>
      <c r="AI82" s="48">
        <f t="shared" si="20"/>
        <v>105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9"/>
        <v>0</v>
      </c>
      <c r="AI83" s="48">
        <f t="shared" si="2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9"/>
        <v>0</v>
      </c>
      <c r="AI84" s="48">
        <f t="shared" si="2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9"/>
        <v>0</v>
      </c>
      <c r="AI85" s="48">
        <f t="shared" si="2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9"/>
        <v>0</v>
      </c>
      <c r="AI86" s="48">
        <f t="shared" si="20"/>
        <v>0</v>
      </c>
    </row>
    <row r="87" spans="1:40" ht="15.75" thickBot="1" x14ac:dyDescent="0.3">
      <c r="A87" s="74" t="s">
        <v>94</v>
      </c>
      <c r="B87" s="95">
        <f t="shared" ref="B87" si="23">B48+B52+B70+B66+B82+B86</f>
        <v>992.1400000000001</v>
      </c>
      <c r="C87" s="95">
        <f t="shared" ref="C87:AG87" si="24">C48+C52+C70+C66+C82+C86</f>
        <v>939.94</v>
      </c>
      <c r="D87" s="95">
        <f t="shared" si="24"/>
        <v>904.74</v>
      </c>
      <c r="E87" s="95">
        <f t="shared" si="24"/>
        <v>912.94</v>
      </c>
      <c r="F87" s="95">
        <f t="shared" si="24"/>
        <v>882.94</v>
      </c>
      <c r="G87" s="95">
        <f t="shared" si="24"/>
        <v>938.24</v>
      </c>
      <c r="H87" s="95">
        <f t="shared" si="24"/>
        <v>1014.2399999999999</v>
      </c>
      <c r="I87" s="95">
        <f t="shared" si="24"/>
        <v>1089.3399999999999</v>
      </c>
      <c r="J87" s="95">
        <f t="shared" si="24"/>
        <v>1180.74</v>
      </c>
      <c r="K87" s="95">
        <f t="shared" si="24"/>
        <v>1277.8399999999999</v>
      </c>
      <c r="L87" s="95">
        <f t="shared" si="24"/>
        <v>1224.94</v>
      </c>
      <c r="M87" s="95">
        <f t="shared" si="24"/>
        <v>1239.74</v>
      </c>
      <c r="N87" s="95">
        <f t="shared" si="24"/>
        <v>1177.1399999999999</v>
      </c>
      <c r="O87" s="95">
        <f t="shared" si="24"/>
        <v>1166.6399999999999</v>
      </c>
      <c r="P87" s="95">
        <f t="shared" si="24"/>
        <v>1222.3399999999999</v>
      </c>
      <c r="Q87" s="95">
        <f t="shared" si="24"/>
        <v>1239.3400000000001</v>
      </c>
      <c r="R87" s="95">
        <f t="shared" si="24"/>
        <v>1232.8399999999999</v>
      </c>
      <c r="S87" s="95">
        <f t="shared" si="24"/>
        <v>1231.6399999999999</v>
      </c>
      <c r="T87" s="95">
        <f t="shared" si="24"/>
        <v>1203.6399999999999</v>
      </c>
      <c r="U87" s="95">
        <f t="shared" si="24"/>
        <v>1203.6399999999999</v>
      </c>
      <c r="V87" s="95">
        <f t="shared" si="24"/>
        <v>1089.7399999999998</v>
      </c>
      <c r="W87" s="95">
        <f t="shared" si="24"/>
        <v>1053.74</v>
      </c>
      <c r="X87" s="95">
        <f t="shared" si="24"/>
        <v>1180.74</v>
      </c>
      <c r="Y87" s="95">
        <f t="shared" si="24"/>
        <v>1278.74</v>
      </c>
      <c r="Z87" s="95">
        <f t="shared" si="24"/>
        <v>1271.74</v>
      </c>
      <c r="AA87" s="95">
        <f t="shared" si="24"/>
        <v>1226.8399999999999</v>
      </c>
      <c r="AB87" s="95">
        <f t="shared" si="24"/>
        <v>1088.04</v>
      </c>
      <c r="AC87" s="95">
        <f t="shared" si="24"/>
        <v>1081.04</v>
      </c>
      <c r="AD87" s="95">
        <f t="shared" si="24"/>
        <v>1017.9399999999999</v>
      </c>
      <c r="AE87" s="95">
        <f t="shared" si="24"/>
        <v>854.74</v>
      </c>
      <c r="AF87" s="95">
        <f t="shared" si="24"/>
        <v>827.74</v>
      </c>
      <c r="AG87" s="61">
        <f t="shared" si="24"/>
        <v>2065.09</v>
      </c>
      <c r="AH87" s="47">
        <f>MAX(B87:AF87)</f>
        <v>1278.74</v>
      </c>
      <c r="AI87" s="48">
        <f>MIN(B87:AF87)</f>
        <v>827.74</v>
      </c>
    </row>
    <row r="88" spans="1:40" ht="15.75" thickBot="1" x14ac:dyDescent="0.3">
      <c r="A88" s="96" t="s">
        <v>95</v>
      </c>
      <c r="B88" s="97">
        <v>50</v>
      </c>
      <c r="C88" s="97">
        <v>50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120</v>
      </c>
      <c r="L88" s="97">
        <v>200</v>
      </c>
      <c r="M88" s="97">
        <v>180</v>
      </c>
      <c r="N88" s="97">
        <v>180</v>
      </c>
      <c r="O88" s="97">
        <v>180</v>
      </c>
      <c r="P88" s="97">
        <v>100</v>
      </c>
      <c r="Q88" s="97"/>
      <c r="R88" s="97"/>
      <c r="S88" s="97"/>
      <c r="T88" s="97"/>
      <c r="U88" s="97"/>
      <c r="V88" s="97"/>
      <c r="W88" s="97">
        <v>320</v>
      </c>
      <c r="X88" s="97">
        <v>320</v>
      </c>
      <c r="Y88" s="97">
        <v>320</v>
      </c>
      <c r="Z88" s="97">
        <v>320</v>
      </c>
      <c r="AA88" s="97">
        <v>320</v>
      </c>
      <c r="AB88" s="97">
        <v>320</v>
      </c>
      <c r="AC88" s="97">
        <v>230</v>
      </c>
      <c r="AD88" s="97">
        <v>230</v>
      </c>
      <c r="AE88" s="97">
        <v>230</v>
      </c>
      <c r="AF88" s="97">
        <v>230</v>
      </c>
      <c r="AG88" s="88"/>
      <c r="AH88" s="47">
        <f t="shared" si="19"/>
        <v>320</v>
      </c>
      <c r="AI88" s="48">
        <f t="shared" si="20"/>
        <v>50</v>
      </c>
    </row>
    <row r="89" spans="1:40" ht="15.75" thickBot="1" x14ac:dyDescent="0.3">
      <c r="A89" s="74" t="s">
        <v>96</v>
      </c>
      <c r="B89" s="95">
        <f t="shared" ref="B89" si="25">B87+B88</f>
        <v>1042.1400000000001</v>
      </c>
      <c r="C89" s="95">
        <f t="shared" ref="C89:AF89" si="26">C87+C88</f>
        <v>989.94</v>
      </c>
      <c r="D89" s="95">
        <f t="shared" si="26"/>
        <v>954.74</v>
      </c>
      <c r="E89" s="95">
        <f t="shared" si="26"/>
        <v>962.94</v>
      </c>
      <c r="F89" s="95">
        <f t="shared" si="26"/>
        <v>932.94</v>
      </c>
      <c r="G89" s="95">
        <f t="shared" si="26"/>
        <v>988.24</v>
      </c>
      <c r="H89" s="95">
        <f t="shared" si="26"/>
        <v>1064.2399999999998</v>
      </c>
      <c r="I89" s="95">
        <f t="shared" si="26"/>
        <v>1139.3399999999999</v>
      </c>
      <c r="J89" s="95">
        <f t="shared" si="26"/>
        <v>1230.74</v>
      </c>
      <c r="K89" s="95">
        <f t="shared" si="26"/>
        <v>1397.84</v>
      </c>
      <c r="L89" s="95">
        <f t="shared" si="26"/>
        <v>1424.94</v>
      </c>
      <c r="M89" s="95">
        <f t="shared" si="26"/>
        <v>1419.74</v>
      </c>
      <c r="N89" s="95">
        <f t="shared" si="26"/>
        <v>1357.1399999999999</v>
      </c>
      <c r="O89" s="95">
        <f t="shared" si="26"/>
        <v>1346.6399999999999</v>
      </c>
      <c r="P89" s="95">
        <f t="shared" si="26"/>
        <v>1322.34</v>
      </c>
      <c r="Q89" s="95">
        <f t="shared" si="26"/>
        <v>1239.3400000000001</v>
      </c>
      <c r="R89" s="95">
        <f t="shared" si="26"/>
        <v>1232.8399999999999</v>
      </c>
      <c r="S89" s="95">
        <f t="shared" si="26"/>
        <v>1231.6399999999999</v>
      </c>
      <c r="T89" s="95">
        <f t="shared" si="26"/>
        <v>1203.6399999999999</v>
      </c>
      <c r="U89" s="95">
        <f t="shared" si="26"/>
        <v>1203.6399999999999</v>
      </c>
      <c r="V89" s="95">
        <f t="shared" si="26"/>
        <v>1089.7399999999998</v>
      </c>
      <c r="W89" s="95">
        <f t="shared" si="26"/>
        <v>1373.74</v>
      </c>
      <c r="X89" s="95">
        <f t="shared" si="26"/>
        <v>1500.74</v>
      </c>
      <c r="Y89" s="95">
        <f t="shared" si="26"/>
        <v>1598.74</v>
      </c>
      <c r="Z89" s="95">
        <f t="shared" si="26"/>
        <v>1591.74</v>
      </c>
      <c r="AA89" s="95">
        <f t="shared" si="26"/>
        <v>1546.84</v>
      </c>
      <c r="AB89" s="95">
        <f t="shared" si="26"/>
        <v>1408.04</v>
      </c>
      <c r="AC89" s="95">
        <f t="shared" si="26"/>
        <v>1311.04</v>
      </c>
      <c r="AD89" s="95">
        <f t="shared" si="26"/>
        <v>1247.94</v>
      </c>
      <c r="AE89" s="95">
        <f t="shared" si="26"/>
        <v>1084.74</v>
      </c>
      <c r="AF89" s="95">
        <f t="shared" si="26"/>
        <v>1057.74</v>
      </c>
      <c r="AG89" s="88">
        <f>AG86+AG82+AG70+AG66+AG48+AG88</f>
        <v>1526.99</v>
      </c>
      <c r="AH89" s="47">
        <f t="shared" si="19"/>
        <v>1598.74</v>
      </c>
      <c r="AI89" s="48">
        <f t="shared" si="20"/>
        <v>932.94</v>
      </c>
    </row>
    <row r="90" spans="1:40" ht="15.75" thickBot="1" x14ac:dyDescent="0.3">
      <c r="A90" s="74" t="s">
        <v>97</v>
      </c>
      <c r="B90" s="95">
        <f t="shared" ref="B90" si="27">B89-B97</f>
        <v>1042.1400000000001</v>
      </c>
      <c r="C90" s="95">
        <f t="shared" ref="C90:AF90" si="28">C89-C97</f>
        <v>989.94</v>
      </c>
      <c r="D90" s="95">
        <f t="shared" si="28"/>
        <v>954.74</v>
      </c>
      <c r="E90" s="95">
        <f t="shared" si="28"/>
        <v>962.94</v>
      </c>
      <c r="F90" s="95">
        <f t="shared" si="28"/>
        <v>932.94</v>
      </c>
      <c r="G90" s="95">
        <f t="shared" si="28"/>
        <v>988.24</v>
      </c>
      <c r="H90" s="95">
        <f t="shared" si="28"/>
        <v>1064.2399999999998</v>
      </c>
      <c r="I90" s="95">
        <f t="shared" si="28"/>
        <v>1139.3399999999999</v>
      </c>
      <c r="J90" s="95">
        <f t="shared" si="28"/>
        <v>1230.74</v>
      </c>
      <c r="K90" s="95">
        <f t="shared" si="28"/>
        <v>1397.84</v>
      </c>
      <c r="L90" s="95">
        <f t="shared" si="28"/>
        <v>1424.94</v>
      </c>
      <c r="M90" s="95">
        <f t="shared" si="28"/>
        <v>1419.74</v>
      </c>
      <c r="N90" s="95">
        <f t="shared" si="28"/>
        <v>1357.1399999999999</v>
      </c>
      <c r="O90" s="95">
        <f t="shared" si="28"/>
        <v>1346.6399999999999</v>
      </c>
      <c r="P90" s="95">
        <f t="shared" si="28"/>
        <v>1322.34</v>
      </c>
      <c r="Q90" s="95">
        <f t="shared" si="28"/>
        <v>1239.3400000000001</v>
      </c>
      <c r="R90" s="95">
        <f t="shared" si="28"/>
        <v>1232.8399999999999</v>
      </c>
      <c r="S90" s="95">
        <f t="shared" si="28"/>
        <v>1231.6399999999999</v>
      </c>
      <c r="T90" s="95">
        <f t="shared" si="28"/>
        <v>1203.6399999999999</v>
      </c>
      <c r="U90" s="95">
        <f t="shared" si="28"/>
        <v>1203.6399999999999</v>
      </c>
      <c r="V90" s="95">
        <f t="shared" si="28"/>
        <v>1089.7399999999998</v>
      </c>
      <c r="W90" s="95">
        <f t="shared" si="28"/>
        <v>1373.74</v>
      </c>
      <c r="X90" s="95">
        <f t="shared" si="28"/>
        <v>1500.74</v>
      </c>
      <c r="Y90" s="95">
        <f t="shared" si="28"/>
        <v>1598.74</v>
      </c>
      <c r="Z90" s="95">
        <f t="shared" si="28"/>
        <v>1591.74</v>
      </c>
      <c r="AA90" s="95">
        <f t="shared" si="28"/>
        <v>1546.84</v>
      </c>
      <c r="AB90" s="95">
        <f t="shared" si="28"/>
        <v>1408.04</v>
      </c>
      <c r="AC90" s="95">
        <f t="shared" si="28"/>
        <v>1311.04</v>
      </c>
      <c r="AD90" s="95">
        <f t="shared" si="28"/>
        <v>1247.94</v>
      </c>
      <c r="AE90" s="95">
        <f t="shared" si="28"/>
        <v>1084.74</v>
      </c>
      <c r="AF90" s="95">
        <f t="shared" si="28"/>
        <v>1057.74</v>
      </c>
      <c r="AG90" s="88"/>
      <c r="AH90" s="47">
        <f t="shared" si="19"/>
        <v>1598.74</v>
      </c>
      <c r="AI90" s="48">
        <f t="shared" si="20"/>
        <v>932.94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9"/>
        <v>0</v>
      </c>
      <c r="AI91" s="48">
        <f t="shared" si="2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9"/>
        <v>0</v>
      </c>
      <c r="AI92" s="48">
        <f t="shared" si="2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9"/>
        <v>0</v>
      </c>
      <c r="AI93" s="48">
        <f t="shared" si="2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9"/>
        <v>0</v>
      </c>
      <c r="AI96" s="48">
        <f t="shared" si="2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9"/>
        <v>0</v>
      </c>
      <c r="AI97" s="48">
        <f t="shared" si="20"/>
        <v>0</v>
      </c>
      <c r="AK97" s="49"/>
    </row>
    <row r="98" spans="1:37" ht="15.75" thickBot="1" x14ac:dyDescent="0.3">
      <c r="A98" s="74" t="s">
        <v>102</v>
      </c>
      <c r="B98" s="60">
        <f t="shared" ref="B98" si="29">B82-B97</f>
        <v>480.8</v>
      </c>
      <c r="C98" s="60">
        <f t="shared" ref="C98:AF98" si="30">C82-C97</f>
        <v>428.6</v>
      </c>
      <c r="D98" s="60">
        <f t="shared" si="30"/>
        <v>409.8</v>
      </c>
      <c r="E98" s="60">
        <f t="shared" si="30"/>
        <v>418</v>
      </c>
      <c r="F98" s="60">
        <f t="shared" si="30"/>
        <v>388</v>
      </c>
      <c r="G98" s="60">
        <f t="shared" si="30"/>
        <v>390.7</v>
      </c>
      <c r="H98" s="60">
        <f t="shared" si="30"/>
        <v>412.9</v>
      </c>
      <c r="I98" s="60">
        <f t="shared" si="30"/>
        <v>440</v>
      </c>
      <c r="J98" s="60">
        <f t="shared" si="30"/>
        <v>239.8</v>
      </c>
      <c r="K98" s="60">
        <f t="shared" si="30"/>
        <v>169.8</v>
      </c>
      <c r="L98" s="60">
        <f t="shared" si="30"/>
        <v>111.9</v>
      </c>
      <c r="M98" s="60">
        <f t="shared" si="30"/>
        <v>134.1</v>
      </c>
      <c r="N98" s="60">
        <f t="shared" si="30"/>
        <v>315.10000000000002</v>
      </c>
      <c r="O98" s="60">
        <f t="shared" si="30"/>
        <v>357.4</v>
      </c>
      <c r="P98" s="60">
        <f t="shared" si="30"/>
        <v>501</v>
      </c>
      <c r="Q98" s="60">
        <f t="shared" si="30"/>
        <v>476.4</v>
      </c>
      <c r="R98" s="60">
        <f t="shared" si="30"/>
        <v>486.7</v>
      </c>
      <c r="S98" s="60">
        <f t="shared" si="30"/>
        <v>493.9</v>
      </c>
      <c r="T98" s="60">
        <f t="shared" si="30"/>
        <v>498.9</v>
      </c>
      <c r="U98" s="60">
        <f t="shared" si="30"/>
        <v>498.9</v>
      </c>
      <c r="V98" s="60">
        <f t="shared" si="30"/>
        <v>345</v>
      </c>
      <c r="W98" s="60">
        <f t="shared" si="30"/>
        <v>223</v>
      </c>
      <c r="X98" s="60">
        <f t="shared" si="30"/>
        <v>220</v>
      </c>
      <c r="Y98" s="60">
        <f t="shared" si="30"/>
        <v>185</v>
      </c>
      <c r="Z98" s="60">
        <f t="shared" si="30"/>
        <v>105</v>
      </c>
      <c r="AA98" s="60">
        <f t="shared" si="30"/>
        <v>171</v>
      </c>
      <c r="AB98" s="60">
        <f t="shared" si="30"/>
        <v>172</v>
      </c>
      <c r="AC98" s="60">
        <f t="shared" si="30"/>
        <v>239</v>
      </c>
      <c r="AD98" s="60">
        <f t="shared" si="30"/>
        <v>345</v>
      </c>
      <c r="AE98" s="60">
        <f t="shared" si="30"/>
        <v>345</v>
      </c>
      <c r="AF98" s="60">
        <f t="shared" si="30"/>
        <v>350</v>
      </c>
      <c r="AG98" s="88"/>
      <c r="AH98" s="47">
        <f t="shared" si="19"/>
        <v>501</v>
      </c>
      <c r="AI98" s="48">
        <f t="shared" si="20"/>
        <v>105</v>
      </c>
    </row>
    <row r="99" spans="1:37" x14ac:dyDescent="0.25">
      <c r="A99" s="100" t="s">
        <v>103</v>
      </c>
      <c r="B99" s="101">
        <v>50.125</v>
      </c>
      <c r="C99" s="101">
        <v>49.963999999999999</v>
      </c>
      <c r="D99" s="101">
        <v>50.072000000000003</v>
      </c>
      <c r="E99" s="101">
        <v>49.968699999999998</v>
      </c>
      <c r="F99" s="101">
        <v>49.994999999999997</v>
      </c>
      <c r="G99" s="101">
        <v>50.082000000000001</v>
      </c>
      <c r="H99" s="101">
        <v>50.07</v>
      </c>
      <c r="I99" s="101">
        <v>50.0047</v>
      </c>
      <c r="J99" s="101">
        <v>50.033999999999999</v>
      </c>
      <c r="K99" s="101">
        <v>49.975999999999999</v>
      </c>
      <c r="L99" s="101">
        <v>49.951999999999998</v>
      </c>
      <c r="M99" s="101">
        <v>50.084000000000003</v>
      </c>
      <c r="N99" s="101">
        <v>50.134999999999998</v>
      </c>
      <c r="O99" s="101">
        <v>49.966000000000001</v>
      </c>
      <c r="P99" s="101">
        <v>49.969000000000001</v>
      </c>
      <c r="Q99" s="101">
        <v>50.015000000000001</v>
      </c>
      <c r="R99" s="101">
        <v>50.011000000000003</v>
      </c>
      <c r="S99" s="101">
        <v>49.904000000000003</v>
      </c>
      <c r="T99" s="101">
        <v>50.06</v>
      </c>
      <c r="U99" s="101">
        <v>49.89</v>
      </c>
      <c r="V99" s="101">
        <v>49.8</v>
      </c>
      <c r="W99" s="101">
        <v>50.09</v>
      </c>
      <c r="X99" s="101"/>
      <c r="Y99" s="101">
        <v>50.06</v>
      </c>
      <c r="Z99" s="101">
        <v>49.82</v>
      </c>
      <c r="AA99" s="101">
        <v>50.04</v>
      </c>
      <c r="AB99" s="101">
        <v>50.006999999999998</v>
      </c>
      <c r="AC99" s="101">
        <v>50.064</v>
      </c>
      <c r="AD99" s="101">
        <v>50.055</v>
      </c>
      <c r="AE99" s="101">
        <v>49.912999999999997</v>
      </c>
      <c r="AF99" s="101">
        <v>49.927</v>
      </c>
      <c r="AG99" s="102"/>
      <c r="AH99" s="47">
        <f t="shared" si="19"/>
        <v>50.134999999999998</v>
      </c>
      <c r="AI99" s="48">
        <f t="shared" si="20"/>
        <v>49.8</v>
      </c>
    </row>
    <row r="100" spans="1:37" x14ac:dyDescent="0.25">
      <c r="A100" s="103" t="s">
        <v>104</v>
      </c>
      <c r="B100" s="65">
        <v>131.19999999999999</v>
      </c>
      <c r="C100" s="65">
        <v>131.9</v>
      </c>
      <c r="D100" s="65">
        <v>131.30000000000001</v>
      </c>
      <c r="E100" s="65">
        <v>131.30000000000001</v>
      </c>
      <c r="F100" s="65">
        <v>131.30000000000001</v>
      </c>
      <c r="G100" s="65">
        <v>131.30000000000001</v>
      </c>
      <c r="H100" s="65">
        <v>128.9</v>
      </c>
      <c r="I100" s="65">
        <v>128.9</v>
      </c>
      <c r="J100" s="65">
        <v>126.5</v>
      </c>
      <c r="K100" s="65">
        <v>127</v>
      </c>
      <c r="L100" s="65">
        <v>127</v>
      </c>
      <c r="M100" s="65">
        <v>127.1</v>
      </c>
      <c r="N100" s="65">
        <v>126.2</v>
      </c>
      <c r="O100" s="65">
        <v>126.6</v>
      </c>
      <c r="P100" s="65">
        <v>126</v>
      </c>
      <c r="Q100" s="65">
        <v>126.3</v>
      </c>
      <c r="R100" s="65">
        <v>125.6</v>
      </c>
      <c r="S100" s="65">
        <v>125.7</v>
      </c>
      <c r="T100" s="65">
        <v>125.7</v>
      </c>
      <c r="U100" s="65"/>
      <c r="V100" s="65"/>
      <c r="W100" s="65"/>
      <c r="X100" s="65"/>
      <c r="Y100" s="65"/>
      <c r="Z100" s="65">
        <v>128</v>
      </c>
      <c r="AA100" s="65">
        <v>130</v>
      </c>
      <c r="AB100" s="65">
        <v>131.9</v>
      </c>
      <c r="AC100" s="65">
        <v>132.4</v>
      </c>
      <c r="AD100" s="65">
        <v>130.19999999999999</v>
      </c>
      <c r="AE100" s="65">
        <v>130.69999999999999</v>
      </c>
      <c r="AF100" s="65">
        <v>131.19999999999999</v>
      </c>
      <c r="AG100" s="104"/>
      <c r="AH100" s="47">
        <f t="shared" si="19"/>
        <v>132.4</v>
      </c>
      <c r="AI100" s="48">
        <f t="shared" si="20"/>
        <v>125.6</v>
      </c>
    </row>
    <row r="101" spans="1:37" x14ac:dyDescent="0.25">
      <c r="A101" s="103" t="s">
        <v>105</v>
      </c>
      <c r="B101" s="65">
        <v>133.80000000000001</v>
      </c>
      <c r="C101" s="65">
        <v>134.80000000000001</v>
      </c>
      <c r="D101" s="65">
        <v>134.30000000000001</v>
      </c>
      <c r="E101" s="65">
        <v>134.30000000000001</v>
      </c>
      <c r="F101" s="65">
        <v>134.30000000000001</v>
      </c>
      <c r="G101" s="65">
        <v>134.30000000000001</v>
      </c>
      <c r="H101" s="65">
        <v>132</v>
      </c>
      <c r="I101" s="65">
        <v>132</v>
      </c>
      <c r="J101" s="65">
        <v>129</v>
      </c>
      <c r="K101" s="65">
        <v>129.9</v>
      </c>
      <c r="L101" s="65">
        <v>129.9</v>
      </c>
      <c r="M101" s="65">
        <v>129.6</v>
      </c>
      <c r="N101" s="65">
        <v>129</v>
      </c>
      <c r="O101" s="65">
        <v>128.30000000000001</v>
      </c>
      <c r="P101" s="65">
        <v>128.69999999999999</v>
      </c>
      <c r="Q101" s="65">
        <v>128.80000000000001</v>
      </c>
      <c r="R101" s="65">
        <v>128.19999999999999</v>
      </c>
      <c r="S101" s="65">
        <v>128.5</v>
      </c>
      <c r="T101" s="65">
        <v>128.5</v>
      </c>
      <c r="U101" s="65"/>
      <c r="V101" s="65"/>
      <c r="W101" s="65"/>
      <c r="X101" s="65"/>
      <c r="Y101" s="65"/>
      <c r="Z101" s="65">
        <v>130</v>
      </c>
      <c r="AA101" s="65">
        <v>132</v>
      </c>
      <c r="AB101" s="65">
        <v>133.30000000000001</v>
      </c>
      <c r="AC101" s="65">
        <v>134.1</v>
      </c>
      <c r="AD101" s="65">
        <v>132</v>
      </c>
      <c r="AE101" s="65">
        <v>133</v>
      </c>
      <c r="AF101" s="65">
        <v>67</v>
      </c>
      <c r="AG101" s="104"/>
      <c r="AH101" s="47">
        <f t="shared" si="19"/>
        <v>134.80000000000001</v>
      </c>
      <c r="AI101" s="48">
        <f t="shared" si="20"/>
        <v>67</v>
      </c>
    </row>
    <row r="102" spans="1:37" x14ac:dyDescent="0.25">
      <c r="A102" s="103" t="s">
        <v>106</v>
      </c>
      <c r="B102" s="65">
        <v>133</v>
      </c>
      <c r="C102" s="65">
        <v>131.6</v>
      </c>
      <c r="D102" s="65">
        <v>132.80000000000001</v>
      </c>
      <c r="E102" s="65">
        <v>132.80000000000001</v>
      </c>
      <c r="F102" s="65">
        <v>132.80000000000001</v>
      </c>
      <c r="G102" s="65">
        <v>132.80000000000001</v>
      </c>
      <c r="H102" s="65">
        <v>131.6</v>
      </c>
      <c r="I102" s="65">
        <v>131.6</v>
      </c>
      <c r="J102" s="65">
        <v>128.5</v>
      </c>
      <c r="K102" s="65">
        <v>126</v>
      </c>
      <c r="L102" s="65">
        <v>126</v>
      </c>
      <c r="M102" s="65">
        <v>131</v>
      </c>
      <c r="N102" s="65">
        <v>131.30000000000001</v>
      </c>
      <c r="O102" s="65">
        <v>131.30000000000001</v>
      </c>
      <c r="P102" s="65">
        <v>125.8</v>
      </c>
      <c r="Q102" s="65">
        <v>130.1</v>
      </c>
      <c r="R102" s="65">
        <v>124.6</v>
      </c>
      <c r="S102" s="65">
        <v>125.5</v>
      </c>
      <c r="T102" s="65">
        <v>125.5</v>
      </c>
      <c r="U102" s="65"/>
      <c r="V102" s="65"/>
      <c r="W102" s="65"/>
      <c r="X102" s="65"/>
      <c r="Y102" s="65"/>
      <c r="Z102" s="65">
        <v>131</v>
      </c>
      <c r="AA102" s="65">
        <v>133</v>
      </c>
      <c r="AB102" s="65">
        <v>133</v>
      </c>
      <c r="AC102" s="65">
        <v>133.19999999999999</v>
      </c>
      <c r="AD102" s="65">
        <v>129.6</v>
      </c>
      <c r="AE102" s="65">
        <v>130.5</v>
      </c>
      <c r="AF102" s="65">
        <v>134.1</v>
      </c>
      <c r="AG102" s="104"/>
      <c r="AH102" s="47">
        <f t="shared" si="19"/>
        <v>134.1</v>
      </c>
      <c r="AI102" s="48">
        <f t="shared" si="20"/>
        <v>124.6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9"/>
        <v>0</v>
      </c>
      <c r="AI103" s="48">
        <f t="shared" si="20"/>
        <v>0</v>
      </c>
    </row>
    <row r="104" spans="1:37" x14ac:dyDescent="0.25">
      <c r="A104" s="105" t="s">
        <v>108</v>
      </c>
      <c r="B104" s="106">
        <v>135.1</v>
      </c>
      <c r="C104" s="106">
        <v>135.19999999999999</v>
      </c>
      <c r="D104" s="106">
        <v>133</v>
      </c>
      <c r="E104" s="106">
        <v>133</v>
      </c>
      <c r="F104" s="106">
        <v>133</v>
      </c>
      <c r="G104" s="106">
        <v>133</v>
      </c>
      <c r="H104" s="106">
        <v>137</v>
      </c>
      <c r="I104" s="106">
        <v>137</v>
      </c>
      <c r="J104" s="106">
        <v>130</v>
      </c>
      <c r="K104" s="106">
        <v>133.80000000000001</v>
      </c>
      <c r="L104" s="106">
        <v>133.80000000000001</v>
      </c>
      <c r="M104" s="106">
        <v>134.69999999999999</v>
      </c>
      <c r="N104" s="106">
        <v>132.4</v>
      </c>
      <c r="O104" s="106">
        <v>134.6</v>
      </c>
      <c r="P104" s="106">
        <v>132.6</v>
      </c>
      <c r="Q104" s="106">
        <v>132.9</v>
      </c>
      <c r="R104" s="106">
        <v>131</v>
      </c>
      <c r="S104" s="106">
        <v>132.19999999999999</v>
      </c>
      <c r="T104" s="106">
        <v>132.19999999999999</v>
      </c>
      <c r="U104" s="106"/>
      <c r="V104" s="106"/>
      <c r="W104" s="106"/>
      <c r="X104" s="106"/>
      <c r="Y104" s="106"/>
      <c r="Z104" s="106">
        <v>134.5</v>
      </c>
      <c r="AA104" s="106">
        <v>135</v>
      </c>
      <c r="AB104" s="106">
        <v>135.69999999999999</v>
      </c>
      <c r="AC104" s="106">
        <v>136.19999999999999</v>
      </c>
      <c r="AD104" s="106">
        <v>135</v>
      </c>
      <c r="AE104" s="106">
        <v>135.30000000000001</v>
      </c>
      <c r="AF104" s="106">
        <v>135.6</v>
      </c>
      <c r="AG104" s="107"/>
      <c r="AH104" s="47">
        <f t="shared" si="19"/>
        <v>137</v>
      </c>
      <c r="AI104" s="48">
        <f t="shared" si="20"/>
        <v>130</v>
      </c>
    </row>
    <row r="105" spans="1:37" x14ac:dyDescent="0.25">
      <c r="A105" s="103" t="s">
        <v>109</v>
      </c>
      <c r="B105" s="65">
        <v>135.9</v>
      </c>
      <c r="C105" s="65">
        <v>136.1</v>
      </c>
      <c r="D105" s="65">
        <v>134.9</v>
      </c>
      <c r="E105" s="65">
        <v>134.9</v>
      </c>
      <c r="F105" s="65">
        <v>134.9</v>
      </c>
      <c r="G105" s="65">
        <v>134.9</v>
      </c>
      <c r="H105" s="65">
        <v>135</v>
      </c>
      <c r="I105" s="65">
        <v>135</v>
      </c>
      <c r="J105" s="65">
        <v>126</v>
      </c>
      <c r="K105" s="65">
        <v>131.5</v>
      </c>
      <c r="L105" s="65">
        <v>131.5</v>
      </c>
      <c r="M105" s="65">
        <v>132.19999999999999</v>
      </c>
      <c r="N105" s="65">
        <v>129.4</v>
      </c>
      <c r="O105" s="65">
        <v>135.4</v>
      </c>
      <c r="P105" s="65">
        <v>131.5</v>
      </c>
      <c r="Q105" s="65">
        <v>133.9</v>
      </c>
      <c r="R105" s="65">
        <v>131.6</v>
      </c>
      <c r="S105" s="65">
        <v>132.80000000000001</v>
      </c>
      <c r="T105" s="65">
        <v>132.80000000000001</v>
      </c>
      <c r="U105" s="65"/>
      <c r="V105" s="65"/>
      <c r="W105" s="65"/>
      <c r="X105" s="65"/>
      <c r="Y105" s="65"/>
      <c r="Z105" s="65">
        <v>133</v>
      </c>
      <c r="AA105" s="65">
        <v>136</v>
      </c>
      <c r="AB105" s="65">
        <v>136.9</v>
      </c>
      <c r="AC105" s="65">
        <v>137.5</v>
      </c>
      <c r="AD105" s="65">
        <v>138</v>
      </c>
      <c r="AE105" s="65">
        <v>137</v>
      </c>
      <c r="AF105" s="65">
        <v>136.80000000000001</v>
      </c>
      <c r="AG105" s="104"/>
      <c r="AH105" s="47">
        <f t="shared" si="19"/>
        <v>138</v>
      </c>
      <c r="AI105" s="48">
        <f t="shared" si="20"/>
        <v>126</v>
      </c>
    </row>
    <row r="106" spans="1:37" ht="15.75" thickBot="1" x14ac:dyDescent="0.3">
      <c r="A106" s="103" t="s">
        <v>110</v>
      </c>
      <c r="B106" s="92">
        <v>67.2</v>
      </c>
      <c r="C106" s="92">
        <v>67.599999999999994</v>
      </c>
      <c r="D106" s="92">
        <v>67.400000000000006</v>
      </c>
      <c r="E106" s="92">
        <v>67.400000000000006</v>
      </c>
      <c r="F106" s="92">
        <v>67.400000000000006</v>
      </c>
      <c r="G106" s="92">
        <v>67.400000000000006</v>
      </c>
      <c r="H106" s="92">
        <v>66.5</v>
      </c>
      <c r="I106" s="92">
        <v>66.5</v>
      </c>
      <c r="J106" s="92">
        <v>64.400000000000006</v>
      </c>
      <c r="K106" s="92">
        <v>64.7</v>
      </c>
      <c r="L106" s="92">
        <v>64.7</v>
      </c>
      <c r="M106" s="92">
        <v>64.599999999999994</v>
      </c>
      <c r="N106" s="92">
        <v>64.599999999999994</v>
      </c>
      <c r="O106" s="92">
        <v>64.3</v>
      </c>
      <c r="P106" s="92">
        <v>64.599999999999994</v>
      </c>
      <c r="Q106" s="92">
        <v>64.599999999999994</v>
      </c>
      <c r="R106" s="92">
        <v>64.2</v>
      </c>
      <c r="S106" s="92">
        <v>64.2</v>
      </c>
      <c r="T106" s="92">
        <v>64.2</v>
      </c>
      <c r="U106" s="92"/>
      <c r="V106" s="92"/>
      <c r="W106" s="92"/>
      <c r="X106" s="92"/>
      <c r="Y106" s="92"/>
      <c r="Z106" s="92">
        <v>65</v>
      </c>
      <c r="AA106" s="92">
        <v>66.2</v>
      </c>
      <c r="AB106" s="92">
        <v>66.599999999999994</v>
      </c>
      <c r="AC106" s="92">
        <v>67</v>
      </c>
      <c r="AD106" s="92">
        <v>65.8</v>
      </c>
      <c r="AE106" s="92">
        <v>66.7</v>
      </c>
      <c r="AF106" s="92">
        <v>67</v>
      </c>
      <c r="AG106" s="108"/>
      <c r="AH106" s="47">
        <f t="shared" si="19"/>
        <v>67.599999999999994</v>
      </c>
      <c r="AI106" s="48">
        <f t="shared" si="20"/>
        <v>64.2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9"/>
        <v>0</v>
      </c>
      <c r="AI107" s="48">
        <f t="shared" si="20"/>
        <v>0</v>
      </c>
    </row>
    <row r="108" spans="1:37" ht="15.75" thickBot="1" x14ac:dyDescent="0.3">
      <c r="A108" s="110" t="s">
        <v>112</v>
      </c>
      <c r="B108" s="111">
        <f t="shared" ref="B108" si="31">SUM(B18,B24,B27:B28,B56,B58:B59,B61,B63,B109:B113,B135,B141,B147,B156,B158,B170,B177,B180:B181,B188,B190,B192,B196:B198,B200:B202,B207,B213:B214,B216:B218,B226,B231)</f>
        <v>116.2</v>
      </c>
      <c r="C108" s="111">
        <f t="shared" ref="C108:AF108" si="32">SUM(C18,C24,C27:C28,C56,C58:C59,C61,C63,C109:C113,C135,C141,C147,C156,C158,C170,C177,C180:C181,C188,C190,C192,C196:C198,C200:C202,C207,C213:C214,C216:C218,C226,C231)</f>
        <v>112.24000000000001</v>
      </c>
      <c r="D108" s="111">
        <f t="shared" si="32"/>
        <v>108.34</v>
      </c>
      <c r="E108" s="111">
        <f t="shared" si="32"/>
        <v>107.44</v>
      </c>
      <c r="F108" s="111">
        <f t="shared" si="32"/>
        <v>117.54</v>
      </c>
      <c r="G108" s="111">
        <f t="shared" si="32"/>
        <v>144.44</v>
      </c>
      <c r="H108" s="111">
        <f t="shared" si="32"/>
        <v>169.44</v>
      </c>
      <c r="I108" s="111">
        <f t="shared" si="32"/>
        <v>201.04</v>
      </c>
      <c r="J108" s="111">
        <f t="shared" si="32"/>
        <v>241.94</v>
      </c>
      <c r="K108" s="111">
        <f t="shared" si="32"/>
        <v>295.14000000000004</v>
      </c>
      <c r="L108" s="111">
        <f t="shared" si="32"/>
        <v>334.74</v>
      </c>
      <c r="M108" s="111">
        <f t="shared" si="32"/>
        <v>336.64</v>
      </c>
      <c r="N108" s="111">
        <f t="shared" si="32"/>
        <v>314.54000000000002</v>
      </c>
      <c r="O108" s="111">
        <f t="shared" si="32"/>
        <v>308.94</v>
      </c>
      <c r="P108" s="111">
        <v>42</v>
      </c>
      <c r="Q108" s="111">
        <f t="shared" si="32"/>
        <v>259</v>
      </c>
      <c r="R108" s="111">
        <f t="shared" si="32"/>
        <v>237</v>
      </c>
      <c r="S108" s="111">
        <f t="shared" si="32"/>
        <v>231.1</v>
      </c>
      <c r="T108" s="111">
        <f t="shared" si="32"/>
        <v>106.7</v>
      </c>
      <c r="U108" s="111">
        <f t="shared" si="32"/>
        <v>106.7</v>
      </c>
      <c r="V108" s="111">
        <f t="shared" si="32"/>
        <v>106.7</v>
      </c>
      <c r="W108" s="111">
        <f t="shared" si="32"/>
        <v>106.7</v>
      </c>
      <c r="X108" s="111">
        <f t="shared" si="32"/>
        <v>96.7</v>
      </c>
      <c r="Y108" s="111">
        <f t="shared" si="32"/>
        <v>96.7</v>
      </c>
      <c r="Z108" s="111">
        <f t="shared" si="32"/>
        <v>96.7</v>
      </c>
      <c r="AA108" s="111">
        <f t="shared" si="32"/>
        <v>96.7</v>
      </c>
      <c r="AB108" s="111">
        <f t="shared" si="32"/>
        <v>324.2</v>
      </c>
      <c r="AC108" s="111">
        <f t="shared" si="32"/>
        <v>312.10000000000002</v>
      </c>
      <c r="AD108" s="111">
        <f t="shared" si="32"/>
        <v>266.70000000000005</v>
      </c>
      <c r="AE108" s="111">
        <f t="shared" si="32"/>
        <v>177.4</v>
      </c>
      <c r="AF108" s="111">
        <f t="shared" si="32"/>
        <v>149.9</v>
      </c>
      <c r="AG108" s="112"/>
      <c r="AH108" s="47">
        <f t="shared" si="19"/>
        <v>336.64</v>
      </c>
      <c r="AI108" s="48">
        <f t="shared" si="20"/>
        <v>42</v>
      </c>
    </row>
    <row r="109" spans="1:37" x14ac:dyDescent="0.25">
      <c r="A109" s="100" t="s">
        <v>113</v>
      </c>
      <c r="B109" s="113">
        <v>-32.6</v>
      </c>
      <c r="C109" s="113">
        <v>-23.9</v>
      </c>
      <c r="D109" s="113">
        <v>-30</v>
      </c>
      <c r="E109" s="113">
        <v>-33.799999999999997</v>
      </c>
      <c r="F109" s="113">
        <v>-33.9</v>
      </c>
      <c r="G109" s="113">
        <v>-24.4</v>
      </c>
      <c r="H109" s="113">
        <v>-11.1</v>
      </c>
      <c r="I109" s="113">
        <v>-17</v>
      </c>
      <c r="J109" s="113">
        <v>3.7</v>
      </c>
      <c r="K109" s="113">
        <v>15.8</v>
      </c>
      <c r="L109" s="113">
        <v>23.2</v>
      </c>
      <c r="M109" s="113">
        <v>22.9</v>
      </c>
      <c r="N109" s="113">
        <v>16.899999999999999</v>
      </c>
      <c r="O109" s="113">
        <v>9.9</v>
      </c>
      <c r="P109" s="113">
        <v>-1.7</v>
      </c>
      <c r="Q109" s="113">
        <v>-5.4</v>
      </c>
      <c r="R109" s="113">
        <v>-6</v>
      </c>
      <c r="S109" s="113">
        <v>-6.4</v>
      </c>
      <c r="T109" s="113"/>
      <c r="U109" s="113"/>
      <c r="V109" s="113"/>
      <c r="W109" s="113"/>
      <c r="X109" s="113"/>
      <c r="Y109" s="113"/>
      <c r="Z109" s="113"/>
      <c r="AA109" s="113"/>
      <c r="AB109" s="113">
        <v>26.4</v>
      </c>
      <c r="AC109" s="113">
        <v>23</v>
      </c>
      <c r="AD109" s="113">
        <v>18.600000000000001</v>
      </c>
      <c r="AE109" s="113">
        <v>-5.3</v>
      </c>
      <c r="AF109" s="113">
        <v>-13.8</v>
      </c>
      <c r="AG109" s="114">
        <v>75</v>
      </c>
      <c r="AH109" s="47">
        <f t="shared" si="19"/>
        <v>26.4</v>
      </c>
      <c r="AI109" s="48">
        <f t="shared" si="20"/>
        <v>-33.9</v>
      </c>
    </row>
    <row r="110" spans="1:37" x14ac:dyDescent="0.25">
      <c r="A110" s="103" t="s">
        <v>114</v>
      </c>
      <c r="B110" s="115">
        <v>-41</v>
      </c>
      <c r="C110" s="115">
        <v>-33.1</v>
      </c>
      <c r="D110" s="115">
        <v>-40.5</v>
      </c>
      <c r="E110" s="115">
        <v>-44.7</v>
      </c>
      <c r="F110" s="115">
        <v>-43.2</v>
      </c>
      <c r="G110" s="115">
        <v>-31.8</v>
      </c>
      <c r="H110" s="115">
        <v>-16.5</v>
      </c>
      <c r="I110" s="115">
        <v>-23.1</v>
      </c>
      <c r="J110" s="115">
        <v>8.1999999999999993</v>
      </c>
      <c r="K110" s="115">
        <v>15.7</v>
      </c>
      <c r="L110" s="115">
        <v>26.1</v>
      </c>
      <c r="M110" s="115">
        <v>25.2</v>
      </c>
      <c r="N110" s="115">
        <v>18.3</v>
      </c>
      <c r="O110" s="115">
        <v>9.3000000000000007</v>
      </c>
      <c r="P110" s="115">
        <v>0</v>
      </c>
      <c r="Q110" s="115">
        <v>-5.5</v>
      </c>
      <c r="R110" s="115">
        <v>-5.5</v>
      </c>
      <c r="S110" s="115">
        <v>-6.3</v>
      </c>
      <c r="T110" s="115"/>
      <c r="U110" s="115"/>
      <c r="V110" s="115"/>
      <c r="W110" s="115"/>
      <c r="X110" s="115"/>
      <c r="Y110" s="115"/>
      <c r="Z110" s="115"/>
      <c r="AA110" s="115"/>
      <c r="AB110" s="115">
        <v>30.7</v>
      </c>
      <c r="AC110" s="115">
        <v>24.4</v>
      </c>
      <c r="AD110" s="115">
        <v>20.399999999999999</v>
      </c>
      <c r="AE110" s="115">
        <v>-11.3</v>
      </c>
      <c r="AF110" s="115">
        <v>-22.3</v>
      </c>
      <c r="AG110" s="114">
        <v>240</v>
      </c>
      <c r="AH110" s="47">
        <f t="shared" si="19"/>
        <v>30.7</v>
      </c>
      <c r="AI110" s="48">
        <f t="shared" si="20"/>
        <v>-44.7</v>
      </c>
    </row>
    <row r="111" spans="1:37" x14ac:dyDescent="0.25">
      <c r="A111" s="103" t="s">
        <v>115</v>
      </c>
      <c r="B111" s="115">
        <v>0</v>
      </c>
      <c r="C111" s="115">
        <v>-8.6999999999999993</v>
      </c>
      <c r="D111" s="115">
        <v>-5.4</v>
      </c>
      <c r="E111" s="115">
        <v>-2.1</v>
      </c>
      <c r="F111" s="115">
        <v>-5.4</v>
      </c>
      <c r="G111" s="115">
        <v>-3</v>
      </c>
      <c r="H111" s="115">
        <v>-6</v>
      </c>
      <c r="I111" s="115">
        <v>23</v>
      </c>
      <c r="J111" s="115">
        <v>12</v>
      </c>
      <c r="K111" s="115">
        <v>42</v>
      </c>
      <c r="L111" s="115">
        <v>48</v>
      </c>
      <c r="M111" s="115">
        <v>46.5</v>
      </c>
      <c r="N111" s="115">
        <v>58</v>
      </c>
      <c r="O111" s="115">
        <v>48</v>
      </c>
      <c r="P111" s="115">
        <v>21</v>
      </c>
      <c r="Q111" s="115">
        <v>21</v>
      </c>
      <c r="R111" s="115">
        <v>9.6999999999999993</v>
      </c>
      <c r="S111" s="115">
        <v>9.1</v>
      </c>
      <c r="T111" s="115"/>
      <c r="U111" s="115"/>
      <c r="V111" s="115"/>
      <c r="W111" s="115"/>
      <c r="X111" s="115"/>
      <c r="Y111" s="115"/>
      <c r="Z111" s="115"/>
      <c r="AA111" s="115"/>
      <c r="AB111" s="115">
        <v>33</v>
      </c>
      <c r="AC111" s="115">
        <v>36</v>
      </c>
      <c r="AD111" s="115">
        <v>31</v>
      </c>
      <c r="AE111" s="115">
        <f>5.5+6.4</f>
        <v>11.9</v>
      </c>
      <c r="AF111" s="115">
        <v>4.5</v>
      </c>
      <c r="AG111" s="114">
        <v>240</v>
      </c>
      <c r="AH111" s="47">
        <f t="shared" si="19"/>
        <v>58</v>
      </c>
      <c r="AI111" s="48">
        <f t="shared" si="20"/>
        <v>-8.6999999999999993</v>
      </c>
    </row>
    <row r="112" spans="1:37" x14ac:dyDescent="0.25">
      <c r="A112" s="103" t="s">
        <v>116</v>
      </c>
      <c r="B112" s="115">
        <v>5.6</v>
      </c>
      <c r="C112" s="115">
        <v>5.3</v>
      </c>
      <c r="D112" s="115">
        <v>6.7</v>
      </c>
      <c r="E112" s="115">
        <v>9.1999999999999993</v>
      </c>
      <c r="F112" s="115">
        <v>7.5</v>
      </c>
      <c r="G112" s="115">
        <v>8.9</v>
      </c>
      <c r="H112" s="115">
        <v>10</v>
      </c>
      <c r="I112" s="115">
        <v>11</v>
      </c>
      <c r="J112" s="115">
        <v>13.7</v>
      </c>
      <c r="K112" s="115">
        <v>21.3</v>
      </c>
      <c r="L112" s="115">
        <v>22.4</v>
      </c>
      <c r="M112" s="115">
        <v>21.6</v>
      </c>
      <c r="N112" s="115">
        <v>23.9</v>
      </c>
      <c r="O112" s="115">
        <v>18.8</v>
      </c>
      <c r="P112" s="115">
        <v>27</v>
      </c>
      <c r="Q112" s="115">
        <v>27.1</v>
      </c>
      <c r="R112" s="115">
        <v>30.4</v>
      </c>
      <c r="S112" s="115">
        <v>28.6</v>
      </c>
      <c r="T112" s="115"/>
      <c r="U112" s="115"/>
      <c r="V112" s="115"/>
      <c r="W112" s="115"/>
      <c r="X112" s="115"/>
      <c r="Y112" s="115"/>
      <c r="Z112" s="115"/>
      <c r="AA112" s="115"/>
      <c r="AB112" s="115">
        <v>58.4</v>
      </c>
      <c r="AC112" s="115">
        <v>58</v>
      </c>
      <c r="AD112" s="115">
        <v>18</v>
      </c>
      <c r="AE112" s="115">
        <v>8.6</v>
      </c>
      <c r="AF112" s="115">
        <v>6.1</v>
      </c>
      <c r="AG112" s="114">
        <v>60</v>
      </c>
      <c r="AH112" s="47">
        <f t="shared" si="19"/>
        <v>58.4</v>
      </c>
      <c r="AI112" s="48">
        <f t="shared" si="20"/>
        <v>5.3</v>
      </c>
    </row>
    <row r="113" spans="1:37" x14ac:dyDescent="0.25">
      <c r="A113" s="116" t="s">
        <v>117</v>
      </c>
      <c r="B113" s="117">
        <v>88</v>
      </c>
      <c r="C113" s="117">
        <v>75.5</v>
      </c>
      <c r="D113" s="117">
        <v>80.400000000000006</v>
      </c>
      <c r="E113" s="117">
        <v>81.7</v>
      </c>
      <c r="F113" s="117">
        <v>95.4</v>
      </c>
      <c r="G113" s="117">
        <v>96.3</v>
      </c>
      <c r="H113" s="117">
        <v>94.9</v>
      </c>
      <c r="I113" s="117">
        <v>109</v>
      </c>
      <c r="J113" s="117">
        <v>105.9</v>
      </c>
      <c r="K113" s="117">
        <v>101.9</v>
      </c>
      <c r="L113" s="117">
        <v>116.6</v>
      </c>
      <c r="M113" s="117">
        <v>122.1</v>
      </c>
      <c r="N113" s="117">
        <v>96.8</v>
      </c>
      <c r="O113" s="117">
        <v>116.3</v>
      </c>
      <c r="P113" s="117">
        <v>106.7</v>
      </c>
      <c r="Q113" s="117">
        <v>113</v>
      </c>
      <c r="R113" s="117">
        <v>99.6</v>
      </c>
      <c r="S113" s="117">
        <v>99.4</v>
      </c>
      <c r="T113" s="117"/>
      <c r="U113" s="117"/>
      <c r="V113" s="117"/>
      <c r="W113" s="117"/>
      <c r="X113" s="117"/>
      <c r="Y113" s="117"/>
      <c r="Z113" s="117"/>
      <c r="AA113" s="117"/>
      <c r="AB113" s="117">
        <v>84</v>
      </c>
      <c r="AC113" s="117">
        <v>79</v>
      </c>
      <c r="AD113" s="117">
        <v>87</v>
      </c>
      <c r="AE113" s="117">
        <v>81.8</v>
      </c>
      <c r="AF113" s="117">
        <v>83.7</v>
      </c>
      <c r="AG113" s="118">
        <v>120</v>
      </c>
      <c r="AH113" s="47">
        <f t="shared" si="19"/>
        <v>122.1</v>
      </c>
      <c r="AI113" s="48">
        <f t="shared" si="20"/>
        <v>75.5</v>
      </c>
    </row>
    <row r="114" spans="1:37" x14ac:dyDescent="0.25">
      <c r="A114" s="116" t="s">
        <v>118</v>
      </c>
      <c r="B114" s="117">
        <v>77.8</v>
      </c>
      <c r="C114" s="117">
        <v>67</v>
      </c>
      <c r="D114" s="117">
        <v>72.3</v>
      </c>
      <c r="E114" s="117">
        <v>74.7</v>
      </c>
      <c r="F114" s="117">
        <v>94.7</v>
      </c>
      <c r="G114" s="117">
        <v>90.5</v>
      </c>
      <c r="H114" s="117">
        <v>92.6</v>
      </c>
      <c r="I114" s="117">
        <v>92</v>
      </c>
      <c r="J114" s="117">
        <v>78.5</v>
      </c>
      <c r="K114" s="117">
        <v>86.7</v>
      </c>
      <c r="L114" s="117">
        <v>92.8</v>
      </c>
      <c r="M114" s="117">
        <v>86</v>
      </c>
      <c r="N114" s="117">
        <v>97.8</v>
      </c>
      <c r="O114" s="117">
        <v>91.5</v>
      </c>
      <c r="P114" s="117">
        <v>88.5</v>
      </c>
      <c r="Q114" s="117">
        <v>91</v>
      </c>
      <c r="R114" s="117">
        <v>80.2</v>
      </c>
      <c r="S114" s="117">
        <v>80.599999999999994</v>
      </c>
      <c r="T114" s="117"/>
      <c r="U114" s="117"/>
      <c r="V114" s="117"/>
      <c r="W114" s="117"/>
      <c r="X114" s="117"/>
      <c r="Y114" s="117"/>
      <c r="Z114" s="117"/>
      <c r="AA114" s="117"/>
      <c r="AB114" s="117">
        <v>44.2</v>
      </c>
      <c r="AC114" s="117">
        <v>50</v>
      </c>
      <c r="AD114" s="117">
        <v>70</v>
      </c>
      <c r="AE114" s="117">
        <v>74.8</v>
      </c>
      <c r="AF114" s="117">
        <v>77.599999999999994</v>
      </c>
      <c r="AG114" s="118"/>
      <c r="AH114" s="47">
        <f t="shared" si="19"/>
        <v>97.8</v>
      </c>
      <c r="AI114" s="48">
        <f t="shared" si="20"/>
        <v>44.2</v>
      </c>
    </row>
    <row r="115" spans="1:37" x14ac:dyDescent="0.25">
      <c r="A115" s="116" t="s">
        <v>119</v>
      </c>
      <c r="B115" s="117">
        <v>54.4</v>
      </c>
      <c r="C115" s="117"/>
      <c r="D115" s="117">
        <v>54.5</v>
      </c>
      <c r="E115" s="117"/>
      <c r="F115" s="117"/>
      <c r="G115" s="117">
        <v>50.6</v>
      </c>
      <c r="H115" s="117"/>
      <c r="I115" s="117"/>
      <c r="J115" s="117">
        <v>50.1</v>
      </c>
      <c r="K115" s="117"/>
      <c r="L115" s="117"/>
      <c r="M115" s="117">
        <v>22.4</v>
      </c>
      <c r="N115" s="117">
        <v>33.1</v>
      </c>
      <c r="O115" s="117"/>
      <c r="P115" s="117"/>
      <c r="Q115" s="117">
        <v>44.9</v>
      </c>
      <c r="R115" s="117">
        <v>42.9</v>
      </c>
      <c r="S115" s="117">
        <v>40.4</v>
      </c>
      <c r="T115" s="117"/>
      <c r="U115" s="117"/>
      <c r="V115" s="117"/>
      <c r="W115" s="117"/>
      <c r="X115" s="117"/>
      <c r="Y115" s="117"/>
      <c r="Z115" s="117"/>
      <c r="AA115" s="117"/>
      <c r="AB115" s="117">
        <v>30.5</v>
      </c>
      <c r="AC115" s="117"/>
      <c r="AD115" s="117"/>
      <c r="AE115" s="117"/>
      <c r="AF115" s="117">
        <v>41.3</v>
      </c>
      <c r="AG115" s="119"/>
      <c r="AH115" s="47">
        <f t="shared" si="19"/>
        <v>54.5</v>
      </c>
      <c r="AI115" s="48">
        <f t="shared" si="20"/>
        <v>22.4</v>
      </c>
    </row>
    <row r="116" spans="1:37" x14ac:dyDescent="0.25">
      <c r="A116" s="120" t="s">
        <v>120</v>
      </c>
      <c r="B116" s="106">
        <v>8</v>
      </c>
      <c r="C116" s="106">
        <v>23.1</v>
      </c>
      <c r="D116" s="106">
        <v>27.3</v>
      </c>
      <c r="E116" s="106">
        <v>38</v>
      </c>
      <c r="F116" s="106">
        <v>36</v>
      </c>
      <c r="G116" s="106">
        <v>30.8</v>
      </c>
      <c r="H116" s="106">
        <v>27.7</v>
      </c>
      <c r="I116" s="106">
        <v>13.4</v>
      </c>
      <c r="J116" s="106">
        <v>-4.2</v>
      </c>
      <c r="K116" s="106">
        <v>-19</v>
      </c>
      <c r="L116" s="106">
        <v>-8</v>
      </c>
      <c r="M116" s="106">
        <v>-12.8</v>
      </c>
      <c r="N116" s="106">
        <v>-14.6</v>
      </c>
      <c r="O116" s="106">
        <v>-23.1</v>
      </c>
      <c r="P116" s="106">
        <v>-25.6</v>
      </c>
      <c r="Q116" s="106">
        <v>-14.9</v>
      </c>
      <c r="R116" s="106">
        <v>-26.5</v>
      </c>
      <c r="S116" s="106">
        <v>-31.2</v>
      </c>
      <c r="T116" s="106"/>
      <c r="U116" s="106"/>
      <c r="V116" s="106"/>
      <c r="W116" s="106"/>
      <c r="X116" s="106"/>
      <c r="Y116" s="106"/>
      <c r="Z116" s="106"/>
      <c r="AA116" s="106"/>
      <c r="AB116" s="106">
        <v>-30</v>
      </c>
      <c r="AC116" s="106">
        <v>-24</v>
      </c>
      <c r="AD116" s="106">
        <v>-11.4</v>
      </c>
      <c r="AE116" s="106">
        <v>6</v>
      </c>
      <c r="AF116" s="106">
        <v>11.5</v>
      </c>
      <c r="AG116" s="119"/>
      <c r="AH116" s="47">
        <f t="shared" si="19"/>
        <v>38</v>
      </c>
      <c r="AI116" s="48">
        <f t="shared" si="20"/>
        <v>-31.2</v>
      </c>
    </row>
    <row r="117" spans="1:37" ht="15.75" thickBot="1" x14ac:dyDescent="0.3">
      <c r="A117" s="120" t="s">
        <v>121</v>
      </c>
      <c r="B117" s="106">
        <v>62.8</v>
      </c>
      <c r="C117" s="106">
        <v>51.6</v>
      </c>
      <c r="D117" s="106">
        <v>44.6</v>
      </c>
      <c r="E117" s="106">
        <v>45.2</v>
      </c>
      <c r="F117" s="106">
        <v>36.299999999999997</v>
      </c>
      <c r="G117" s="106">
        <v>37.9</v>
      </c>
      <c r="H117" s="106">
        <v>45.8</v>
      </c>
      <c r="I117" s="106">
        <v>48.5</v>
      </c>
      <c r="J117" s="106">
        <v>58.6</v>
      </c>
      <c r="K117" s="106">
        <v>65</v>
      </c>
      <c r="L117" s="106">
        <v>45.3</v>
      </c>
      <c r="M117" s="106">
        <v>44.1</v>
      </c>
      <c r="N117" s="106">
        <v>43.7</v>
      </c>
      <c r="O117" s="106">
        <v>42.6</v>
      </c>
      <c r="P117" s="106">
        <v>80.400000000000006</v>
      </c>
      <c r="Q117" s="106">
        <v>79.099999999999994</v>
      </c>
      <c r="R117" s="106">
        <v>89</v>
      </c>
      <c r="S117" s="106">
        <v>91.7</v>
      </c>
      <c r="T117" s="106"/>
      <c r="U117" s="106"/>
      <c r="V117" s="106"/>
      <c r="W117" s="106"/>
      <c r="X117" s="106"/>
      <c r="Y117" s="106"/>
      <c r="Z117" s="106"/>
      <c r="AA117" s="106"/>
      <c r="AB117" s="106">
        <v>65</v>
      </c>
      <c r="AC117" s="106">
        <v>64</v>
      </c>
      <c r="AD117" s="106">
        <v>79</v>
      </c>
      <c r="AE117" s="106">
        <v>67.599999999999994</v>
      </c>
      <c r="AF117" s="106">
        <v>57.9</v>
      </c>
      <c r="AG117" s="119"/>
      <c r="AH117" s="47">
        <f t="shared" si="19"/>
        <v>91.7</v>
      </c>
      <c r="AI117" s="48">
        <f t="shared" si="20"/>
        <v>36.299999999999997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33">SUM(B119:B223)</f>
        <v>0</v>
      </c>
      <c r="C224" s="136">
        <f t="shared" si="33"/>
        <v>0</v>
      </c>
      <c r="D224" s="136">
        <f t="shared" si="33"/>
        <v>0</v>
      </c>
      <c r="E224" s="136">
        <f t="shared" si="33"/>
        <v>0</v>
      </c>
      <c r="F224" s="136">
        <f t="shared" si="33"/>
        <v>0</v>
      </c>
      <c r="G224" s="136">
        <f t="shared" si="33"/>
        <v>0</v>
      </c>
      <c r="H224" s="136">
        <f t="shared" si="33"/>
        <v>0</v>
      </c>
      <c r="I224" s="136">
        <f t="shared" si="33"/>
        <v>0</v>
      </c>
      <c r="J224" s="136">
        <f t="shared" si="33"/>
        <v>0</v>
      </c>
      <c r="K224" s="136">
        <f t="shared" si="33"/>
        <v>0</v>
      </c>
      <c r="L224" s="136">
        <f t="shared" si="33"/>
        <v>0</v>
      </c>
      <c r="M224" s="136">
        <f t="shared" si="33"/>
        <v>0</v>
      </c>
      <c r="N224" s="136">
        <f t="shared" si="33"/>
        <v>0</v>
      </c>
      <c r="O224" s="136">
        <f t="shared" si="33"/>
        <v>0</v>
      </c>
      <c r="P224" s="136">
        <f t="shared" si="33"/>
        <v>0</v>
      </c>
      <c r="Q224" s="136">
        <f t="shared" si="33"/>
        <v>0</v>
      </c>
      <c r="R224" s="136">
        <f t="shared" si="33"/>
        <v>0</v>
      </c>
      <c r="S224" s="136">
        <f t="shared" si="33"/>
        <v>0</v>
      </c>
      <c r="T224" s="136">
        <f t="shared" si="33"/>
        <v>0</v>
      </c>
      <c r="U224" s="136">
        <f t="shared" si="33"/>
        <v>0</v>
      </c>
      <c r="V224" s="136">
        <f t="shared" si="33"/>
        <v>0</v>
      </c>
      <c r="W224" s="136">
        <f t="shared" si="33"/>
        <v>0</v>
      </c>
      <c r="X224" s="136">
        <f t="shared" si="33"/>
        <v>0</v>
      </c>
      <c r="Y224" s="136">
        <f t="shared" si="33"/>
        <v>0</v>
      </c>
      <c r="Z224" s="136">
        <f t="shared" si="33"/>
        <v>0</v>
      </c>
      <c r="AA224" s="136">
        <f t="shared" si="33"/>
        <v>0</v>
      </c>
      <c r="AB224" s="136">
        <f t="shared" si="33"/>
        <v>0</v>
      </c>
      <c r="AC224" s="136">
        <f t="shared" si="33"/>
        <v>0</v>
      </c>
      <c r="AD224" s="136">
        <f t="shared" si="33"/>
        <v>0</v>
      </c>
      <c r="AE224" s="136">
        <f t="shared" si="33"/>
        <v>0</v>
      </c>
      <c r="AF224" s="137">
        <f t="shared" si="33"/>
        <v>0</v>
      </c>
      <c r="AG224" s="138">
        <f t="shared" si="33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34">AF226</f>
        <v>0</v>
      </c>
      <c r="C226" s="140">
        <v>0.3</v>
      </c>
      <c r="D226" s="140">
        <f t="shared" ref="D226:P231" si="35">C226</f>
        <v>0.3</v>
      </c>
      <c r="E226" s="140">
        <f t="shared" si="35"/>
        <v>0.3</v>
      </c>
      <c r="F226" s="140">
        <f t="shared" si="35"/>
        <v>0.3</v>
      </c>
      <c r="G226" s="140">
        <f t="shared" si="35"/>
        <v>0.3</v>
      </c>
      <c r="H226" s="140">
        <f t="shared" si="35"/>
        <v>0.3</v>
      </c>
      <c r="I226" s="140">
        <f t="shared" si="35"/>
        <v>0.3</v>
      </c>
      <c r="J226" s="140">
        <f t="shared" si="35"/>
        <v>0.3</v>
      </c>
      <c r="K226" s="140">
        <f t="shared" si="35"/>
        <v>0.3</v>
      </c>
      <c r="L226" s="140">
        <f t="shared" si="35"/>
        <v>0.3</v>
      </c>
      <c r="M226" s="140">
        <f t="shared" si="35"/>
        <v>0.3</v>
      </c>
      <c r="N226" s="140">
        <f t="shared" si="35"/>
        <v>0.3</v>
      </c>
      <c r="O226" s="140">
        <f t="shared" si="35"/>
        <v>0.3</v>
      </c>
      <c r="P226" s="140">
        <f t="shared" si="35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34"/>
        <v>0</v>
      </c>
      <c r="C227" s="128">
        <v>0.4</v>
      </c>
      <c r="D227" s="128">
        <f t="shared" si="35"/>
        <v>0.4</v>
      </c>
      <c r="E227" s="128">
        <f t="shared" si="35"/>
        <v>0.4</v>
      </c>
      <c r="F227" s="128">
        <f t="shared" si="35"/>
        <v>0.4</v>
      </c>
      <c r="G227" s="128">
        <f t="shared" si="35"/>
        <v>0.4</v>
      </c>
      <c r="H227" s="128">
        <f t="shared" si="35"/>
        <v>0.4</v>
      </c>
      <c r="I227" s="128">
        <f t="shared" si="35"/>
        <v>0.4</v>
      </c>
      <c r="J227" s="128">
        <f t="shared" si="35"/>
        <v>0.4</v>
      </c>
      <c r="K227" s="128">
        <f t="shared" si="35"/>
        <v>0.4</v>
      </c>
      <c r="L227" s="128">
        <f t="shared" si="35"/>
        <v>0.4</v>
      </c>
      <c r="M227" s="128">
        <f t="shared" si="35"/>
        <v>0.4</v>
      </c>
      <c r="N227" s="128">
        <f t="shared" si="35"/>
        <v>0.4</v>
      </c>
      <c r="O227" s="128">
        <f t="shared" si="35"/>
        <v>0.4</v>
      </c>
      <c r="P227" s="128">
        <f t="shared" si="35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34"/>
        <v>0</v>
      </c>
      <c r="C228" s="128">
        <v>1.5</v>
      </c>
      <c r="D228" s="128">
        <f t="shared" si="35"/>
        <v>1.5</v>
      </c>
      <c r="E228" s="128">
        <f t="shared" si="35"/>
        <v>1.5</v>
      </c>
      <c r="F228" s="128">
        <f t="shared" si="35"/>
        <v>1.5</v>
      </c>
      <c r="G228" s="128">
        <f t="shared" si="35"/>
        <v>1.5</v>
      </c>
      <c r="H228" s="128">
        <f t="shared" si="35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35"/>
        <v>1.5</v>
      </c>
      <c r="K228" s="128">
        <f t="shared" ca="1" si="35"/>
        <v>1.5</v>
      </c>
      <c r="L228" s="128">
        <f t="shared" ca="1" si="35"/>
        <v>1.5</v>
      </c>
      <c r="M228" s="128">
        <f t="shared" ca="1" si="35"/>
        <v>1.5</v>
      </c>
      <c r="N228" s="128">
        <f t="shared" ca="1" si="35"/>
        <v>1.5</v>
      </c>
      <c r="O228" s="128">
        <f t="shared" ca="1" si="35"/>
        <v>1.5</v>
      </c>
      <c r="P228" s="128">
        <f t="shared" ca="1" si="35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34"/>
        <v>0</v>
      </c>
      <c r="C229" s="128">
        <v>0.3</v>
      </c>
      <c r="D229" s="128">
        <f t="shared" si="35"/>
        <v>0.3</v>
      </c>
      <c r="E229" s="128">
        <f t="shared" si="35"/>
        <v>0.3</v>
      </c>
      <c r="F229" s="128">
        <f t="shared" si="35"/>
        <v>0.3</v>
      </c>
      <c r="G229" s="128">
        <f t="shared" si="35"/>
        <v>0.3</v>
      </c>
      <c r="H229" s="128">
        <f t="shared" si="35"/>
        <v>0.3</v>
      </c>
      <c r="I229" s="128">
        <f t="shared" si="35"/>
        <v>0.3</v>
      </c>
      <c r="J229" s="128">
        <f t="shared" si="35"/>
        <v>0.3</v>
      </c>
      <c r="K229" s="128">
        <f t="shared" si="35"/>
        <v>0.3</v>
      </c>
      <c r="L229" s="128">
        <f t="shared" si="35"/>
        <v>0.3</v>
      </c>
      <c r="M229" s="128">
        <f t="shared" si="35"/>
        <v>0.3</v>
      </c>
      <c r="N229" s="128">
        <f t="shared" si="35"/>
        <v>0.3</v>
      </c>
      <c r="O229" s="128">
        <f t="shared" si="35"/>
        <v>0.3</v>
      </c>
      <c r="P229" s="128">
        <f t="shared" si="35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34"/>
        <v>0</v>
      </c>
      <c r="C230" s="128">
        <v>0.4</v>
      </c>
      <c r="D230" s="128">
        <f t="shared" si="35"/>
        <v>0.4</v>
      </c>
      <c r="E230" s="128">
        <f t="shared" si="35"/>
        <v>0.4</v>
      </c>
      <c r="F230" s="128">
        <f t="shared" si="35"/>
        <v>0.4</v>
      </c>
      <c r="G230" s="128">
        <f t="shared" si="35"/>
        <v>0.4</v>
      </c>
      <c r="H230" s="128">
        <f t="shared" si="35"/>
        <v>0.4</v>
      </c>
      <c r="I230" s="128">
        <f t="shared" si="35"/>
        <v>0.4</v>
      </c>
      <c r="J230" s="128">
        <f t="shared" si="35"/>
        <v>0.4</v>
      </c>
      <c r="K230" s="128">
        <f t="shared" si="35"/>
        <v>0.4</v>
      </c>
      <c r="L230" s="128">
        <f t="shared" si="35"/>
        <v>0.4</v>
      </c>
      <c r="M230" s="128">
        <f t="shared" si="35"/>
        <v>0.4</v>
      </c>
      <c r="N230" s="128">
        <f t="shared" si="35"/>
        <v>0.4</v>
      </c>
      <c r="O230" s="128">
        <f t="shared" si="35"/>
        <v>0.4</v>
      </c>
      <c r="P230" s="128">
        <f t="shared" si="35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34"/>
        <v>0</v>
      </c>
      <c r="C231" s="132">
        <v>0.64</v>
      </c>
      <c r="D231" s="132">
        <f t="shared" si="35"/>
        <v>0.64</v>
      </c>
      <c r="E231" s="132">
        <f t="shared" si="35"/>
        <v>0.64</v>
      </c>
      <c r="F231" s="132">
        <f t="shared" si="35"/>
        <v>0.64</v>
      </c>
      <c r="G231" s="132">
        <f t="shared" si="35"/>
        <v>0.64</v>
      </c>
      <c r="H231" s="132">
        <f t="shared" si="35"/>
        <v>0.64</v>
      </c>
      <c r="I231" s="132">
        <f t="shared" si="35"/>
        <v>0.64</v>
      </c>
      <c r="J231" s="132">
        <f t="shared" si="35"/>
        <v>0.64</v>
      </c>
      <c r="K231" s="132">
        <f t="shared" si="35"/>
        <v>0.64</v>
      </c>
      <c r="L231" s="132">
        <f t="shared" si="35"/>
        <v>0.64</v>
      </c>
      <c r="M231" s="132">
        <f t="shared" si="35"/>
        <v>0.64</v>
      </c>
      <c r="N231" s="132">
        <f t="shared" si="35"/>
        <v>0.64</v>
      </c>
      <c r="O231" s="132">
        <f t="shared" si="35"/>
        <v>0.64</v>
      </c>
      <c r="P231" s="132">
        <f t="shared" si="35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6">SUM(B226:B231)</f>
        <v>0</v>
      </c>
      <c r="C232" s="136">
        <f t="shared" si="36"/>
        <v>3.54</v>
      </c>
      <c r="D232" s="136">
        <f t="shared" si="36"/>
        <v>3.54</v>
      </c>
      <c r="E232" s="136">
        <f t="shared" si="36"/>
        <v>3.54</v>
      </c>
      <c r="F232" s="136">
        <f t="shared" si="36"/>
        <v>3.54</v>
      </c>
      <c r="G232" s="136">
        <f t="shared" si="36"/>
        <v>3.54</v>
      </c>
      <c r="H232" s="136">
        <f t="shared" si="36"/>
        <v>3.54</v>
      </c>
      <c r="I232" s="136">
        <f t="shared" ca="1" si="36"/>
        <v>3.54</v>
      </c>
      <c r="J232" s="136">
        <f t="shared" ca="1" si="36"/>
        <v>3.54</v>
      </c>
      <c r="K232" s="136">
        <f t="shared" ca="1" si="36"/>
        <v>3.54</v>
      </c>
      <c r="L232" s="136">
        <f t="shared" ca="1" si="36"/>
        <v>3.54</v>
      </c>
      <c r="M232" s="136">
        <f t="shared" ca="1" si="36"/>
        <v>3.54</v>
      </c>
      <c r="N232" s="136">
        <f t="shared" ca="1" si="36"/>
        <v>3.54</v>
      </c>
      <c r="O232" s="136">
        <f t="shared" ca="1" si="36"/>
        <v>3.54</v>
      </c>
      <c r="P232" s="136">
        <f t="shared" ca="1" si="36"/>
        <v>3.54</v>
      </c>
      <c r="Q232" s="136">
        <f t="shared" si="36"/>
        <v>0</v>
      </c>
      <c r="R232" s="136">
        <f t="shared" si="36"/>
        <v>0</v>
      </c>
      <c r="S232" s="136">
        <f t="shared" si="36"/>
        <v>0</v>
      </c>
      <c r="T232" s="136">
        <f t="shared" si="36"/>
        <v>0</v>
      </c>
      <c r="U232" s="136">
        <f t="shared" si="36"/>
        <v>0</v>
      </c>
      <c r="V232" s="136">
        <f t="shared" si="36"/>
        <v>0</v>
      </c>
      <c r="W232" s="136">
        <f t="shared" si="36"/>
        <v>0</v>
      </c>
      <c r="X232" s="136">
        <f t="shared" si="36"/>
        <v>0</v>
      </c>
      <c r="Y232" s="136">
        <f t="shared" si="36"/>
        <v>0</v>
      </c>
      <c r="Z232" s="136">
        <f t="shared" si="36"/>
        <v>0</v>
      </c>
      <c r="AA232" s="136">
        <f t="shared" si="36"/>
        <v>0</v>
      </c>
      <c r="AB232" s="136">
        <f t="shared" si="36"/>
        <v>0</v>
      </c>
      <c r="AC232" s="136">
        <f t="shared" si="36"/>
        <v>0</v>
      </c>
      <c r="AD232" s="136">
        <f t="shared" si="36"/>
        <v>0</v>
      </c>
      <c r="AE232" s="136">
        <f t="shared" si="36"/>
        <v>0</v>
      </c>
      <c r="AF232" s="136">
        <f t="shared" si="36"/>
        <v>0</v>
      </c>
      <c r="AG232" s="145">
        <f t="shared" si="36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1424.94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15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2079/11/15)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2079/11/15)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7">B89</f>
        <v>1042.1400000000001</v>
      </c>
      <c r="U246" s="170">
        <f t="shared" si="37"/>
        <v>989.94</v>
      </c>
      <c r="V246" s="170">
        <f t="shared" si="37"/>
        <v>954.74</v>
      </c>
      <c r="W246" s="170">
        <f t="shared" si="37"/>
        <v>962.94</v>
      </c>
      <c r="X246" s="170">
        <f t="shared" si="37"/>
        <v>932.94</v>
      </c>
      <c r="Y246" s="170">
        <f t="shared" si="37"/>
        <v>988.24</v>
      </c>
      <c r="Z246" s="170">
        <f t="shared" si="37"/>
        <v>1064.2399999999998</v>
      </c>
      <c r="AA246" s="170">
        <f t="shared" si="37"/>
        <v>1139.3399999999999</v>
      </c>
      <c r="AB246" s="170">
        <f t="shared" si="37"/>
        <v>1230.74</v>
      </c>
      <c r="AC246" s="170">
        <f t="shared" si="37"/>
        <v>1397.84</v>
      </c>
      <c r="AD246" s="170">
        <f t="shared" si="37"/>
        <v>1424.94</v>
      </c>
      <c r="AE246" s="170">
        <f t="shared" si="37"/>
        <v>1419.74</v>
      </c>
      <c r="AF246" s="170">
        <f t="shared" si="37"/>
        <v>1357.1399999999999</v>
      </c>
      <c r="AG246" s="170">
        <f t="shared" si="37"/>
        <v>1346.6399999999999</v>
      </c>
      <c r="AH246" s="170">
        <f t="shared" si="37"/>
        <v>1322.34</v>
      </c>
      <c r="AI246" s="170">
        <f t="shared" si="37"/>
        <v>1239.3400000000001</v>
      </c>
      <c r="AJ246" s="170">
        <f t="shared" si="37"/>
        <v>1232.8399999999999</v>
      </c>
      <c r="AK246" s="170">
        <f t="shared" si="37"/>
        <v>1231.6399999999999</v>
      </c>
      <c r="AL246" s="170">
        <f t="shared" si="37"/>
        <v>1203.6399999999999</v>
      </c>
      <c r="AM246" s="170">
        <f t="shared" si="37"/>
        <v>1203.6399999999999</v>
      </c>
      <c r="AN246" s="170">
        <f t="shared" si="37"/>
        <v>1089.7399999999998</v>
      </c>
      <c r="AO246" s="170">
        <f t="shared" si="37"/>
        <v>1373.74</v>
      </c>
      <c r="AP246" s="170">
        <f t="shared" si="37"/>
        <v>1500.74</v>
      </c>
      <c r="AQ246" s="170">
        <f t="shared" si="37"/>
        <v>1598.74</v>
      </c>
      <c r="AR246" s="170">
        <f t="shared" si="37"/>
        <v>1591.74</v>
      </c>
      <c r="AS246" s="170">
        <f t="shared" si="37"/>
        <v>1546.84</v>
      </c>
      <c r="AT246" s="170">
        <f t="shared" si="37"/>
        <v>1408.04</v>
      </c>
      <c r="AU246" s="170">
        <f t="shared" si="37"/>
        <v>1311.04</v>
      </c>
      <c r="AV246" s="170">
        <f t="shared" si="37"/>
        <v>1247.94</v>
      </c>
      <c r="AW246" s="170">
        <f t="shared" si="37"/>
        <v>1084.74</v>
      </c>
      <c r="AX246" s="170">
        <f t="shared" si="37"/>
        <v>1057.74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8">C231</f>
        <v>0.64</v>
      </c>
      <c r="C267" s="173">
        <f t="shared" si="38"/>
        <v>0.64</v>
      </c>
      <c r="D267" s="173">
        <f t="shared" si="38"/>
        <v>0.64</v>
      </c>
      <c r="E267" s="173">
        <f t="shared" si="38"/>
        <v>0.64</v>
      </c>
      <c r="F267" s="173">
        <f t="shared" si="38"/>
        <v>0.64</v>
      </c>
      <c r="G267" s="173">
        <f t="shared" si="38"/>
        <v>0.64</v>
      </c>
      <c r="H267" s="173">
        <f t="shared" si="38"/>
        <v>0.64</v>
      </c>
      <c r="I267" s="173">
        <f t="shared" si="38"/>
        <v>0.64</v>
      </c>
      <c r="J267" s="173">
        <f t="shared" si="38"/>
        <v>0.64</v>
      </c>
      <c r="K267" s="173">
        <f t="shared" si="38"/>
        <v>0.64</v>
      </c>
      <c r="L267" s="173">
        <f t="shared" si="38"/>
        <v>0.64</v>
      </c>
      <c r="M267" s="173">
        <f t="shared" si="38"/>
        <v>0.64</v>
      </c>
      <c r="N267" s="173">
        <f t="shared" si="38"/>
        <v>0.64</v>
      </c>
      <c r="O267" s="173">
        <f t="shared" si="38"/>
        <v>0.64</v>
      </c>
      <c r="P267" s="173">
        <f t="shared" si="38"/>
        <v>0</v>
      </c>
      <c r="Q267" s="173">
        <f t="shared" si="38"/>
        <v>0</v>
      </c>
      <c r="R267" s="173">
        <f t="shared" si="38"/>
        <v>0</v>
      </c>
      <c r="S267" s="173">
        <f t="shared" si="38"/>
        <v>0</v>
      </c>
      <c r="T267" s="173">
        <f t="shared" si="38"/>
        <v>0</v>
      </c>
      <c r="U267" s="173">
        <f t="shared" si="38"/>
        <v>0</v>
      </c>
      <c r="V267" s="173">
        <f t="shared" si="38"/>
        <v>0</v>
      </c>
      <c r="W267" s="173">
        <f t="shared" si="38"/>
        <v>0</v>
      </c>
      <c r="X267" s="173">
        <f t="shared" si="38"/>
        <v>0</v>
      </c>
      <c r="Y267" s="173">
        <f t="shared" si="38"/>
        <v>0</v>
      </c>
      <c r="Z267" s="173">
        <f t="shared" si="38"/>
        <v>0</v>
      </c>
      <c r="AA267" s="173">
        <f t="shared" si="38"/>
        <v>0</v>
      </c>
      <c r="AB267" s="173">
        <f t="shared" si="38"/>
        <v>0</v>
      </c>
      <c r="AC267" s="173">
        <f t="shared" si="38"/>
        <v>0</v>
      </c>
      <c r="AD267" s="173">
        <f t="shared" si="38"/>
        <v>0</v>
      </c>
      <c r="AE267" s="173">
        <f t="shared" si="38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9">IF(B235&lt;100,"",B235-520)</f>
        <v/>
      </c>
      <c r="C268" s="174" t="str">
        <f t="shared" si="39"/>
        <v/>
      </c>
      <c r="D268" s="174" t="str">
        <f t="shared" si="39"/>
        <v/>
      </c>
      <c r="E268" s="174" t="str">
        <f t="shared" si="39"/>
        <v/>
      </c>
      <c r="F268" s="174" t="str">
        <f t="shared" si="39"/>
        <v/>
      </c>
      <c r="G268" s="174" t="str">
        <f t="shared" si="39"/>
        <v/>
      </c>
      <c r="H268" s="174" t="str">
        <f t="shared" si="39"/>
        <v/>
      </c>
      <c r="I268" s="174" t="str">
        <f t="shared" si="39"/>
        <v/>
      </c>
      <c r="J268" s="174" t="str">
        <f t="shared" si="39"/>
        <v/>
      </c>
      <c r="K268" s="174" t="str">
        <f t="shared" si="39"/>
        <v/>
      </c>
      <c r="L268" s="174" t="str">
        <f t="shared" si="39"/>
        <v/>
      </c>
      <c r="M268" s="174" t="str">
        <f t="shared" si="39"/>
        <v/>
      </c>
      <c r="N268" s="174" t="str">
        <f t="shared" si="39"/>
        <v/>
      </c>
      <c r="O268" s="174" t="str">
        <f t="shared" si="39"/>
        <v/>
      </c>
      <c r="P268" s="174" t="str">
        <f t="shared" si="39"/>
        <v/>
      </c>
      <c r="Q268" s="174" t="str">
        <f t="shared" si="39"/>
        <v/>
      </c>
      <c r="R268" s="174" t="str">
        <f t="shared" si="39"/>
        <v/>
      </c>
      <c r="S268" s="174" t="str">
        <f t="shared" si="39"/>
        <v/>
      </c>
      <c r="T268" s="174" t="str">
        <f t="shared" si="39"/>
        <v/>
      </c>
      <c r="U268" s="174" t="str">
        <f t="shared" si="39"/>
        <v/>
      </c>
      <c r="V268" s="174" t="str">
        <f t="shared" si="39"/>
        <v/>
      </c>
      <c r="W268" s="174" t="str">
        <f t="shared" si="39"/>
        <v/>
      </c>
      <c r="X268" s="174" t="str">
        <f t="shared" si="39"/>
        <v/>
      </c>
      <c r="Y268" s="174" t="str">
        <f t="shared" si="39"/>
        <v/>
      </c>
      <c r="Z268" s="174" t="str">
        <f t="shared" si="39"/>
        <v/>
      </c>
      <c r="AA268" s="174" t="str">
        <f t="shared" si="39"/>
        <v/>
      </c>
      <c r="AB268" s="174" t="str">
        <f t="shared" si="39"/>
        <v/>
      </c>
      <c r="AC268" s="174" t="str">
        <f t="shared" si="39"/>
        <v/>
      </c>
      <c r="AD268" s="174" t="str">
        <f t="shared" si="39"/>
        <v/>
      </c>
      <c r="AE268" s="174" t="str">
        <f t="shared" si="39"/>
        <v/>
      </c>
      <c r="AF268" s="174" t="str">
        <f t="shared" si="39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40">IF(B236&lt;100,"",B236-620)</f>
        <v/>
      </c>
      <c r="C269" s="174" t="str">
        <f t="shared" si="40"/>
        <v/>
      </c>
      <c r="D269" s="174" t="str">
        <f t="shared" si="40"/>
        <v/>
      </c>
      <c r="E269" s="174" t="str">
        <f t="shared" si="40"/>
        <v/>
      </c>
      <c r="F269" s="174" t="str">
        <f t="shared" si="40"/>
        <v/>
      </c>
      <c r="G269" s="174" t="str">
        <f t="shared" si="40"/>
        <v/>
      </c>
      <c r="H269" s="174" t="str">
        <f t="shared" si="40"/>
        <v/>
      </c>
      <c r="I269" s="174" t="str">
        <f t="shared" si="40"/>
        <v/>
      </c>
      <c r="J269" s="174" t="str">
        <f t="shared" si="40"/>
        <v/>
      </c>
      <c r="K269" s="174" t="str">
        <f t="shared" si="40"/>
        <v/>
      </c>
      <c r="L269" s="174" t="str">
        <f t="shared" si="40"/>
        <v/>
      </c>
      <c r="M269" s="174" t="str">
        <f t="shared" si="40"/>
        <v/>
      </c>
      <c r="N269" s="174" t="str">
        <f t="shared" si="40"/>
        <v/>
      </c>
      <c r="O269" s="174" t="str">
        <f t="shared" si="40"/>
        <v/>
      </c>
      <c r="P269" s="174" t="str">
        <f t="shared" si="40"/>
        <v/>
      </c>
      <c r="Q269" s="174" t="str">
        <f t="shared" si="40"/>
        <v/>
      </c>
      <c r="R269" s="174" t="str">
        <f t="shared" si="40"/>
        <v/>
      </c>
      <c r="S269" s="174" t="str">
        <f t="shared" si="40"/>
        <v/>
      </c>
      <c r="T269" s="174" t="str">
        <f t="shared" si="40"/>
        <v/>
      </c>
      <c r="U269" s="174" t="str">
        <f t="shared" si="40"/>
        <v/>
      </c>
      <c r="V269" s="174" t="str">
        <f t="shared" si="40"/>
        <v/>
      </c>
      <c r="W269" s="174" t="str">
        <f t="shared" si="40"/>
        <v/>
      </c>
      <c r="X269" s="174" t="str">
        <f t="shared" si="40"/>
        <v/>
      </c>
      <c r="Y269" s="174" t="str">
        <f t="shared" si="40"/>
        <v/>
      </c>
      <c r="Z269" s="174" t="str">
        <f t="shared" si="40"/>
        <v/>
      </c>
      <c r="AA269" s="174" t="str">
        <f t="shared" si="40"/>
        <v/>
      </c>
      <c r="AB269" s="174" t="str">
        <f t="shared" si="40"/>
        <v/>
      </c>
      <c r="AC269" s="174" t="str">
        <f t="shared" si="40"/>
        <v/>
      </c>
      <c r="AD269" s="174" t="str">
        <f t="shared" si="40"/>
        <v/>
      </c>
      <c r="AE269" s="174" t="str">
        <f t="shared" si="40"/>
        <v/>
      </c>
      <c r="AF269" s="174" t="str">
        <f t="shared" si="40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41">IF(B237&lt;100,"",B237-330)</f>
        <v/>
      </c>
      <c r="C270" s="174" t="str">
        <f t="shared" si="41"/>
        <v/>
      </c>
      <c r="D270" s="174" t="str">
        <f t="shared" si="41"/>
        <v/>
      </c>
      <c r="E270" s="174" t="str">
        <f t="shared" si="41"/>
        <v/>
      </c>
      <c r="F270" s="174" t="str">
        <f t="shared" si="41"/>
        <v/>
      </c>
      <c r="G270" s="174" t="str">
        <f t="shared" si="41"/>
        <v/>
      </c>
      <c r="H270" s="174" t="str">
        <f t="shared" si="41"/>
        <v/>
      </c>
      <c r="I270" s="174" t="str">
        <f t="shared" si="41"/>
        <v/>
      </c>
      <c r="J270" s="174" t="str">
        <f t="shared" si="41"/>
        <v/>
      </c>
      <c r="K270" s="174" t="str">
        <f t="shared" si="41"/>
        <v/>
      </c>
      <c r="L270" s="174" t="str">
        <f t="shared" si="41"/>
        <v/>
      </c>
      <c r="M270" s="174" t="str">
        <f t="shared" si="41"/>
        <v/>
      </c>
      <c r="N270" s="174" t="str">
        <f t="shared" si="41"/>
        <v/>
      </c>
      <c r="O270" s="174" t="str">
        <f t="shared" si="41"/>
        <v/>
      </c>
      <c r="P270" s="174" t="str">
        <f t="shared" si="41"/>
        <v/>
      </c>
      <c r="Q270" s="174" t="str">
        <f t="shared" si="41"/>
        <v/>
      </c>
      <c r="R270" s="174" t="str">
        <f t="shared" si="41"/>
        <v/>
      </c>
      <c r="S270" s="174" t="str">
        <f t="shared" si="41"/>
        <v/>
      </c>
      <c r="T270" s="174" t="str">
        <f t="shared" si="41"/>
        <v/>
      </c>
      <c r="U270" s="174" t="str">
        <f t="shared" si="41"/>
        <v/>
      </c>
      <c r="V270" s="174" t="str">
        <f t="shared" si="41"/>
        <v/>
      </c>
      <c r="W270" s="174" t="str">
        <f t="shared" si="41"/>
        <v/>
      </c>
      <c r="X270" s="174" t="str">
        <f t="shared" si="41"/>
        <v/>
      </c>
      <c r="Y270" s="174" t="str">
        <f t="shared" si="41"/>
        <v/>
      </c>
      <c r="Z270" s="174" t="str">
        <f t="shared" si="41"/>
        <v/>
      </c>
      <c r="AA270" s="174" t="str">
        <f t="shared" si="41"/>
        <v/>
      </c>
      <c r="AB270" s="174" t="str">
        <f t="shared" si="41"/>
        <v/>
      </c>
      <c r="AC270" s="174" t="str">
        <f t="shared" si="41"/>
        <v/>
      </c>
      <c r="AD270" s="174" t="str">
        <f t="shared" si="41"/>
        <v/>
      </c>
      <c r="AE270" s="174" t="str">
        <f t="shared" si="41"/>
        <v/>
      </c>
      <c r="AF270" s="174" t="str">
        <f t="shared" si="41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42">IF(B238&lt;100,"",B238-1500)</f>
        <v/>
      </c>
      <c r="C271" s="174" t="str">
        <f t="shared" si="42"/>
        <v/>
      </c>
      <c r="D271" s="174" t="str">
        <f t="shared" si="42"/>
        <v/>
      </c>
      <c r="E271" s="174" t="str">
        <f t="shared" si="42"/>
        <v/>
      </c>
      <c r="F271" s="174" t="str">
        <f t="shared" si="42"/>
        <v/>
      </c>
      <c r="G271" s="174" t="str">
        <f t="shared" si="42"/>
        <v/>
      </c>
      <c r="H271" s="174" t="str">
        <f t="shared" si="42"/>
        <v/>
      </c>
      <c r="I271" s="174" t="str">
        <f t="shared" si="42"/>
        <v/>
      </c>
      <c r="J271" s="174" t="str">
        <f t="shared" si="42"/>
        <v/>
      </c>
      <c r="K271" s="174" t="str">
        <f t="shared" si="42"/>
        <v/>
      </c>
      <c r="L271" s="174" t="str">
        <f t="shared" si="42"/>
        <v/>
      </c>
      <c r="M271" s="174" t="str">
        <f t="shared" si="42"/>
        <v/>
      </c>
      <c r="N271" s="174" t="str">
        <f t="shared" si="42"/>
        <v/>
      </c>
      <c r="O271" s="174" t="str">
        <f t="shared" si="42"/>
        <v/>
      </c>
      <c r="P271" s="174" t="str">
        <f t="shared" si="42"/>
        <v/>
      </c>
      <c r="Q271" s="174" t="str">
        <f t="shared" si="42"/>
        <v/>
      </c>
      <c r="R271" s="174" t="str">
        <f t="shared" si="42"/>
        <v/>
      </c>
      <c r="S271" s="174" t="str">
        <f t="shared" si="42"/>
        <v/>
      </c>
      <c r="T271" s="174" t="str">
        <f t="shared" si="42"/>
        <v/>
      </c>
      <c r="U271" s="174" t="str">
        <f t="shared" si="42"/>
        <v/>
      </c>
      <c r="V271" s="174" t="str">
        <f t="shared" si="42"/>
        <v/>
      </c>
      <c r="W271" s="174" t="str">
        <f t="shared" si="42"/>
        <v/>
      </c>
      <c r="X271" s="174" t="str">
        <f t="shared" si="42"/>
        <v/>
      </c>
      <c r="Y271" s="174" t="str">
        <f t="shared" si="42"/>
        <v/>
      </c>
      <c r="Z271" s="174" t="str">
        <f t="shared" si="42"/>
        <v/>
      </c>
      <c r="AA271" s="174" t="str">
        <f t="shared" si="42"/>
        <v/>
      </c>
      <c r="AB271" s="174" t="str">
        <f t="shared" si="42"/>
        <v/>
      </c>
      <c r="AC271" s="174" t="str">
        <f t="shared" si="42"/>
        <v/>
      </c>
      <c r="AD271" s="174" t="str">
        <f t="shared" si="42"/>
        <v/>
      </c>
      <c r="AE271" s="174" t="str">
        <f t="shared" si="42"/>
        <v/>
      </c>
      <c r="AF271" s="174" t="str">
        <f t="shared" si="42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X34:AF43 X45:AF45 X12:AF15 X17:AF32">
    <cfRule type="expression" dxfId="7329" priority="390">
      <formula>B$9&gt;=20/24</formula>
    </cfRule>
    <cfRule type="expression" dxfId="7328" priority="391">
      <formula>AND(B$9&gt;=14/24,B$9&lt;20/24)</formula>
    </cfRule>
    <cfRule type="expression" dxfId="7327" priority="392">
      <formula>AND(B$9&gt;=8/24,B$9&lt;14/24)</formula>
    </cfRule>
    <cfRule type="expression" dxfId="7326" priority="393">
      <formula>B$9&lt;8/24</formula>
    </cfRule>
  </conditionalFormatting>
  <conditionalFormatting sqref="AL4:AL6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G65 X34:AF43 X45:AF45 X12:AF15 X17:AF32">
    <cfRule type="expression" dxfId="7325" priority="388">
      <formula>X12&gt;$AG12</formula>
    </cfRule>
  </conditionalFormatting>
  <conditionalFormatting sqref="A99:A109 A59:A86 A95:A97 A202:A232 A46:A57 A118:A189 A41:A42 A91:A93 A88:A89 A111:A113 A38:A39 A19:A20 A12:A15 A22:A32 A17 A34:A36">
    <cfRule type="expression" dxfId="7324" priority="387">
      <formula>$AH12=0</formula>
    </cfRule>
  </conditionalFormatting>
  <conditionalFormatting sqref="A114">
    <cfRule type="expression" dxfId="7323" priority="386">
      <formula>$AH114=0</formula>
    </cfRule>
  </conditionalFormatting>
  <conditionalFormatting sqref="AL42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322" priority="384">
      <formula>$AH45=0</formula>
    </cfRule>
  </conditionalFormatting>
  <conditionalFormatting sqref="A98">
    <cfRule type="expression" dxfId="7321" priority="383">
      <formula>$AH98=0</formula>
    </cfRule>
  </conditionalFormatting>
  <conditionalFormatting sqref="A18">
    <cfRule type="expression" dxfId="7320" priority="382">
      <formula>$AH18=0</formula>
    </cfRule>
  </conditionalFormatting>
  <conditionalFormatting sqref="A196:A201">
    <cfRule type="expression" dxfId="7319" priority="381">
      <formula>$AH196=0</formula>
    </cfRule>
  </conditionalFormatting>
  <conditionalFormatting sqref="A190:A195">
    <cfRule type="expression" dxfId="7318" priority="380">
      <formula>$AH190=0</formula>
    </cfRule>
  </conditionalFormatting>
  <conditionalFormatting sqref="A58">
    <cfRule type="expression" dxfId="7317" priority="379">
      <formula>$AH58=0</formula>
    </cfRule>
  </conditionalFormatting>
  <conditionalFormatting sqref="A94">
    <cfRule type="expression" dxfId="7316" priority="378">
      <formula>$AH94=0</formula>
    </cfRule>
  </conditionalFormatting>
  <conditionalFormatting sqref="AD99:AF99 E99:X99">
    <cfRule type="expression" dxfId="7315" priority="374">
      <formula>E$9&gt;=20/24</formula>
    </cfRule>
    <cfRule type="expression" dxfId="7314" priority="375">
      <formula>AND(E$9&gt;=14/24,E$9&lt;20/24)</formula>
    </cfRule>
    <cfRule type="expression" dxfId="7313" priority="376">
      <formula>AND(E$9&gt;=8/24,E$9&lt;14/24)</formula>
    </cfRule>
    <cfRule type="expression" dxfId="7312" priority="377">
      <formula>E$9&lt;8/24</formula>
    </cfRule>
  </conditionalFormatting>
  <conditionalFormatting sqref="AL43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311" priority="396">
      <formula>C$9&gt;=20/24</formula>
    </cfRule>
    <cfRule type="expression" dxfId="7310" priority="397">
      <formula>AND(C$9&gt;=14/24,C$9&lt;20/24)</formula>
    </cfRule>
    <cfRule type="expression" dxfId="7309" priority="398">
      <formula>AND(C$9&gt;=8/24,C$9&lt;14/24)</formula>
    </cfRule>
    <cfRule type="expression" dxfId="7308" priority="399">
      <formula>C$9&lt;8/24</formula>
    </cfRule>
  </conditionalFormatting>
  <conditionalFormatting sqref="A233">
    <cfRule type="expression" dxfId="7307" priority="400">
      <formula>$AH233=0</formula>
    </cfRule>
  </conditionalFormatting>
  <conditionalFormatting sqref="AG245">
    <cfRule type="expression" dxfId="7306" priority="401">
      <formula>B$9&gt;=20/24</formula>
    </cfRule>
    <cfRule type="expression" dxfId="7305" priority="402">
      <formula>AND(B$9&gt;=14/24,B$9&lt;20/24)</formula>
    </cfRule>
    <cfRule type="expression" dxfId="7304" priority="403">
      <formula>AND(B$9&gt;=8/24,B$9&lt;14/24)</formula>
    </cfRule>
    <cfRule type="expression" dxfId="7303" priority="404">
      <formula>B$9&lt;8/24</formula>
    </cfRule>
  </conditionalFormatting>
  <conditionalFormatting sqref="S8">
    <cfRule type="expression" dxfId="7302" priority="369">
      <formula>U$9&gt;=20/24</formula>
    </cfRule>
    <cfRule type="expression" dxfId="7301" priority="370">
      <formula>AND(U$9&gt;=14/24,U$9&lt;20/24)</formula>
    </cfRule>
    <cfRule type="expression" dxfId="7300" priority="371">
      <formula>AND(U$9&gt;=8/24,U$9&lt;14/24)</formula>
    </cfRule>
    <cfRule type="expression" dxfId="7299" priority="372">
      <formula>U$9&lt;8/24</formula>
    </cfRule>
  </conditionalFormatting>
  <conditionalFormatting sqref="AB8">
    <cfRule type="expression" dxfId="7298" priority="365">
      <formula>AD$9&gt;=20/24</formula>
    </cfRule>
    <cfRule type="expression" dxfId="7297" priority="366">
      <formula>AND(AD$9&gt;=14/24,AD$9&lt;20/24)</formula>
    </cfRule>
    <cfRule type="expression" dxfId="7296" priority="367">
      <formula>AND(AD$9&gt;=8/24,AD$9&lt;14/24)</formula>
    </cfRule>
    <cfRule type="expression" dxfId="7295" priority="368">
      <formula>AD$9&lt;8/24</formula>
    </cfRule>
  </conditionalFormatting>
  <conditionalFormatting sqref="AH245:AX245">
    <cfRule type="expression" dxfId="7294" priority="405">
      <formula>AG$9&gt;=20/24</formula>
    </cfRule>
    <cfRule type="expression" dxfId="7293" priority="406">
      <formula>AND(AG$9&gt;=14/24,AG$9&lt;20/24)</formula>
    </cfRule>
    <cfRule type="expression" dxfId="7292" priority="407">
      <formula>AND(AG$9&gt;=8/24,AG$9&lt;14/24)</formula>
    </cfRule>
    <cfRule type="expression" dxfId="7291" priority="408">
      <formula>AG$9&lt;8/24</formula>
    </cfRule>
  </conditionalFormatting>
  <conditionalFormatting sqref="T245">
    <cfRule type="expression" dxfId="7290" priority="409">
      <formula>AX$9&gt;=20/24</formula>
    </cfRule>
    <cfRule type="expression" dxfId="7289" priority="410">
      <formula>AND(AX$9&gt;=14/24,AX$9&lt;20/24)</formula>
    </cfRule>
    <cfRule type="expression" dxfId="7288" priority="411">
      <formula>AND(AX$9&gt;=8/24,AX$9&lt;14/24)</formula>
    </cfRule>
    <cfRule type="expression" dxfId="7287" priority="412">
      <formula>AX$9&lt;8/24</formula>
    </cfRule>
  </conditionalFormatting>
  <conditionalFormatting sqref="A115:A116">
    <cfRule type="expression" dxfId="7286" priority="364">
      <formula>$AH115=0</formula>
    </cfRule>
  </conditionalFormatting>
  <conditionalFormatting sqref="M54:Q57 P58:Q58 R54:R58 S57:W58 X56:AF57 E71:AF71">
    <cfRule type="expression" dxfId="7285" priority="360">
      <formula>E$9&gt;=20/24</formula>
    </cfRule>
    <cfRule type="expression" dxfId="7284" priority="361">
      <formula>AND(E$9&gt;=14/24,E$9&lt;20/24)</formula>
    </cfRule>
    <cfRule type="expression" dxfId="7283" priority="362">
      <formula>AND(E$9&gt;=8/24,E$9&lt;14/24)</formula>
    </cfRule>
    <cfRule type="expression" dxfId="7282" priority="363">
      <formula>E$9&lt;8/24</formula>
    </cfRule>
  </conditionalFormatting>
  <conditionalFormatting sqref="M53:R53">
    <cfRule type="expression" dxfId="7281" priority="356">
      <formula>M$9&gt;=20/24</formula>
    </cfRule>
    <cfRule type="expression" dxfId="7280" priority="357">
      <formula>AND(M$9&gt;=14/24,M$9&lt;20/24)</formula>
    </cfRule>
    <cfRule type="expression" dxfId="7279" priority="358">
      <formula>AND(M$9&gt;=8/24,M$9&lt;14/24)</formula>
    </cfRule>
    <cfRule type="expression" dxfId="7278" priority="359">
      <formula>M$9&lt;8/24</formula>
    </cfRule>
  </conditionalFormatting>
  <conditionalFormatting sqref="M53:Q57 P58:Q58 R53:R58 S57:W58 X56:AF57">
    <cfRule type="expression" dxfId="7277" priority="355">
      <formula>M53&gt;$AG53</formula>
    </cfRule>
  </conditionalFormatting>
  <conditionalFormatting sqref="D86:AF86 X74:Y74 X47:AF47 X96:AF96 AD100:AF106 M100:X106 E72:Y73 X67:AF69 Z72:AF74">
    <cfRule type="expression" dxfId="7276" priority="351">
      <formula>D$9&gt;=20/24</formula>
    </cfRule>
    <cfRule type="expression" dxfId="7275" priority="352">
      <formula>AND(D$9&gt;=14/24,D$9&lt;20/24)</formula>
    </cfRule>
    <cfRule type="expression" dxfId="7274" priority="353">
      <formula>AND(D$9&gt;=8/24,D$9&lt;14/24)</formula>
    </cfRule>
    <cfRule type="expression" dxfId="7273" priority="354">
      <formula>D$9&lt;8/24</formula>
    </cfRule>
  </conditionalFormatting>
  <conditionalFormatting sqref="X47:AF47 X67:AF69">
    <cfRule type="expression" dxfId="7272" priority="350">
      <formula>X47&gt;$AG47</formula>
    </cfRule>
  </conditionalFormatting>
  <conditionalFormatting sqref="S56:W56 S53:AF55">
    <cfRule type="expression" dxfId="7271" priority="346">
      <formula>S$9&gt;=20/24</formula>
    </cfRule>
    <cfRule type="expression" dxfId="7270" priority="347">
      <formula>AND(S$9&gt;=14/24,S$9&lt;20/24)</formula>
    </cfRule>
    <cfRule type="expression" dxfId="7269" priority="348">
      <formula>AND(S$9&gt;=8/24,S$9&lt;14/24)</formula>
    </cfRule>
    <cfRule type="expression" dxfId="7268" priority="349">
      <formula>S$9&lt;8/24</formula>
    </cfRule>
  </conditionalFormatting>
  <conditionalFormatting sqref="S56:W56 S53:AF55">
    <cfRule type="expression" dxfId="7267" priority="345">
      <formula>S53&gt;$AG53</formula>
    </cfRule>
  </conditionalFormatting>
  <conditionalFormatting sqref="C97:AF97 D88:AF88">
    <cfRule type="expression" dxfId="7266" priority="341">
      <formula>C$9&gt;=20/24</formula>
    </cfRule>
    <cfRule type="expression" dxfId="7265" priority="342">
      <formula>AND(C$9&gt;=14/24,C$9&lt;20/24)</formula>
    </cfRule>
    <cfRule type="expression" dxfId="7264" priority="343">
      <formula>AND(C$9&gt;=8/24,C$9&lt;14/24)</formula>
    </cfRule>
    <cfRule type="expression" dxfId="7263" priority="344">
      <formula>C$9&lt;8/24</formula>
    </cfRule>
  </conditionalFormatting>
  <conditionalFormatting sqref="T47:W47">
    <cfRule type="expression" dxfId="7262" priority="337">
      <formula>T$9&gt;=20/24</formula>
    </cfRule>
    <cfRule type="expression" dxfId="7261" priority="338">
      <formula>AND(T$9&gt;=14/24,T$9&lt;20/24)</formula>
    </cfRule>
    <cfRule type="expression" dxfId="7260" priority="339">
      <formula>AND(T$9&gt;=8/24,T$9&lt;14/24)</formula>
    </cfRule>
    <cfRule type="expression" dxfId="7259" priority="340">
      <formula>T$9&lt;8/24</formula>
    </cfRule>
  </conditionalFormatting>
  <conditionalFormatting sqref="T47:W47">
    <cfRule type="expression" dxfId="7258" priority="336">
      <formula>T47&gt;$AG47</formula>
    </cfRule>
  </conditionalFormatting>
  <conditionalFormatting sqref="G54:L55 X46:AF46">
    <cfRule type="expression" dxfId="7257" priority="332">
      <formula>G$9&gt;=20/24</formula>
    </cfRule>
    <cfRule type="expression" dxfId="7256" priority="333">
      <formula>AND(G$9&gt;=14/24,G$9&lt;20/24)</formula>
    </cfRule>
    <cfRule type="expression" dxfId="7255" priority="334">
      <formula>AND(G$9&gt;=8/24,G$9&lt;14/24)</formula>
    </cfRule>
    <cfRule type="expression" dxfId="7254" priority="335">
      <formula>G$9&lt;8/24</formula>
    </cfRule>
  </conditionalFormatting>
  <conditionalFormatting sqref="G53:L53">
    <cfRule type="expression" dxfId="7253" priority="328">
      <formula>G$9&gt;=20/24</formula>
    </cfRule>
    <cfRule type="expression" dxfId="7252" priority="329">
      <formula>AND(G$9&gt;=14/24,G$9&lt;20/24)</formula>
    </cfRule>
    <cfRule type="expression" dxfId="7251" priority="330">
      <formula>AND(G$9&gt;=8/24,G$9&lt;14/24)</formula>
    </cfRule>
    <cfRule type="expression" dxfId="7250" priority="331">
      <formula>G$9&lt;8/24</formula>
    </cfRule>
  </conditionalFormatting>
  <conditionalFormatting sqref="G53:L55 X46:AF46">
    <cfRule type="expression" dxfId="7249" priority="327">
      <formula>G46&gt;$AG46</formula>
    </cfRule>
  </conditionalFormatting>
  <conditionalFormatting sqref="AG70 AG87 H100:L106 Q67:W69">
    <cfRule type="expression" dxfId="7248" priority="323">
      <formula>H$9&gt;=20/24</formula>
    </cfRule>
    <cfRule type="expression" dxfId="7247" priority="324">
      <formula>AND(H$9&gt;=14/24,H$9&lt;20/24)</formula>
    </cfRule>
    <cfRule type="expression" dxfId="7246" priority="325">
      <formula>AND(H$9&gt;=8/24,H$9&lt;14/24)</formula>
    </cfRule>
    <cfRule type="expression" dxfId="7245" priority="326">
      <formula>H$9&lt;8/24</formula>
    </cfRule>
  </conditionalFormatting>
  <conditionalFormatting sqref="AG48 AG66 AG70 Q67:W69">
    <cfRule type="expression" dxfId="7244" priority="322">
      <formula>Q48&gt;$AG48</formula>
    </cfRule>
  </conditionalFormatting>
  <conditionalFormatting sqref="X58:AF58">
    <cfRule type="expression" dxfId="7243" priority="318">
      <formula>X$9&gt;=20/24</formula>
    </cfRule>
    <cfRule type="expression" dxfId="7242" priority="319">
      <formula>AND(X$9&gt;=14/24,X$9&lt;20/24)</formula>
    </cfRule>
    <cfRule type="expression" dxfId="7241" priority="320">
      <formula>AND(X$9&gt;=8/24,X$9&lt;14/24)</formula>
    </cfRule>
    <cfRule type="expression" dxfId="7240" priority="321">
      <formula>X$9&lt;8/24</formula>
    </cfRule>
  </conditionalFormatting>
  <conditionalFormatting sqref="X58:AF58">
    <cfRule type="expression" dxfId="7239" priority="317">
      <formula>X58&gt;$AG58</formula>
    </cfRule>
  </conditionalFormatting>
  <conditionalFormatting sqref="A43">
    <cfRule type="expression" dxfId="7238" priority="316">
      <formula>$AH43=0</formula>
    </cfRule>
  </conditionalFormatting>
  <conditionalFormatting sqref="X91:AF95">
    <cfRule type="expression" dxfId="7237" priority="312">
      <formula>X$9&gt;=20/24</formula>
    </cfRule>
    <cfRule type="expression" dxfId="7236" priority="313">
      <formula>AND(X$9&gt;=14/24,X$9&lt;20/24)</formula>
    </cfRule>
    <cfRule type="expression" dxfId="7235" priority="314">
      <formula>AND(X$9&gt;=8/24,X$9&lt;14/24)</formula>
    </cfRule>
    <cfRule type="expression" dxfId="7234" priority="315">
      <formula>X$9&lt;8/24</formula>
    </cfRule>
  </conditionalFormatting>
  <conditionalFormatting sqref="AL45 AL41 AL22:AL32 AL38:AL39 AL7:AL15 AL17:AL20 AL34:AL3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I49:AF51">
    <cfRule type="expression" dxfId="7233" priority="308">
      <formula>I$9&gt;=20/24</formula>
    </cfRule>
    <cfRule type="expression" dxfId="7232" priority="309">
      <formula>AND(I$9&gt;=14/24,I$9&lt;20/24)</formula>
    </cfRule>
    <cfRule type="expression" dxfId="7231" priority="310">
      <formula>AND(I$9&gt;=8/24,I$9&lt;14/24)</formula>
    </cfRule>
    <cfRule type="expression" dxfId="7230" priority="311">
      <formula>I$9&lt;8/24</formula>
    </cfRule>
  </conditionalFormatting>
  <conditionalFormatting sqref="I49:AF51">
    <cfRule type="expression" dxfId="7229" priority="307">
      <formula>I49&gt;$AG49</formula>
    </cfRule>
  </conditionalFormatting>
  <conditionalFormatting sqref="AG52">
    <cfRule type="expression" dxfId="7228" priority="303">
      <formula>AG$9&gt;=20/24</formula>
    </cfRule>
    <cfRule type="expression" dxfId="7227" priority="304">
      <formula>AND(AG$9&gt;=14/24,AG$9&lt;20/24)</formula>
    </cfRule>
    <cfRule type="expression" dxfId="7226" priority="305">
      <formula>AND(AG$9&gt;=8/24,AG$9&lt;14/24)</formula>
    </cfRule>
    <cfRule type="expression" dxfId="7225" priority="306">
      <formula>AG$9&lt;8/24</formula>
    </cfRule>
  </conditionalFormatting>
  <conditionalFormatting sqref="AG52">
    <cfRule type="expression" dxfId="7224" priority="302">
      <formula>AG52&gt;$AG52</formula>
    </cfRule>
  </conditionalFormatting>
  <conditionalFormatting sqref="C107:AF107">
    <cfRule type="expression" dxfId="7223" priority="298">
      <formula>C$9&gt;=20/24</formula>
    </cfRule>
    <cfRule type="expression" dxfId="7222" priority="299">
      <formula>AND(C$9&gt;=14/24,C$9&lt;20/24)</formula>
    </cfRule>
    <cfRule type="expression" dxfId="7221" priority="300">
      <formula>AND(C$9&gt;=8/24,C$9&lt;14/24)</formula>
    </cfRule>
    <cfRule type="expression" dxfId="7220" priority="301">
      <formula>C$9&lt;8/24</formula>
    </cfRule>
  </conditionalFormatting>
  <conditionalFormatting sqref="AL40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219" priority="296">
      <formula>$AH40=0</formula>
    </cfRule>
  </conditionalFormatting>
  <conditionalFormatting sqref="A90">
    <cfRule type="expression" dxfId="7218" priority="294">
      <formula>$AH90=0</formula>
    </cfRule>
  </conditionalFormatting>
  <conditionalFormatting sqref="A87">
    <cfRule type="expression" dxfId="7217" priority="295">
      <formula>$AH87=0</formula>
    </cfRule>
  </conditionalFormatting>
  <conditionalFormatting sqref="D110:AF110">
    <cfRule type="expression" dxfId="7216" priority="282">
      <formula>D$9&gt;=20/24</formula>
    </cfRule>
    <cfRule type="expression" dxfId="7215" priority="283">
      <formula>AND(D$9&gt;=14/24,D$9&lt;20/24)</formula>
    </cfRule>
    <cfRule type="expression" dxfId="7214" priority="284">
      <formula>AND(D$9&gt;=8/24,D$9&lt;14/24)</formula>
    </cfRule>
    <cfRule type="expression" dxfId="7213" priority="285">
      <formula>D$9&lt;8/24</formula>
    </cfRule>
  </conditionalFormatting>
  <conditionalFormatting sqref="A110">
    <cfRule type="expression" dxfId="7212" priority="281">
      <formula>$AH110=0</formula>
    </cfRule>
  </conditionalFormatting>
  <conditionalFormatting sqref="A21">
    <cfRule type="expression" dxfId="7211" priority="279">
      <formula>$AH21=0</formula>
    </cfRule>
  </conditionalFormatting>
  <conditionalFormatting sqref="AL2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210" priority="277">
      <formula>$AH37=0</formula>
    </cfRule>
  </conditionalFormatting>
  <conditionalFormatting sqref="AL37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7209" priority="273">
      <formula>Y$9&gt;=20/24</formula>
    </cfRule>
    <cfRule type="expression" dxfId="7208" priority="274">
      <formula>AND(Y$9&gt;=14/24,Y$9&lt;20/24)</formula>
    </cfRule>
    <cfRule type="expression" dxfId="7207" priority="275">
      <formula>AND(Y$9&gt;=8/24,Y$9&lt;14/24)</formula>
    </cfRule>
    <cfRule type="expression" dxfId="7206" priority="276">
      <formula>Y$9&lt;8/24</formula>
    </cfRule>
  </conditionalFormatting>
  <conditionalFormatting sqref="Y100:AC106">
    <cfRule type="expression" dxfId="7205" priority="269">
      <formula>Y$9&gt;=20/24</formula>
    </cfRule>
    <cfRule type="expression" dxfId="7204" priority="270">
      <formula>AND(Y$9&gt;=14/24,Y$9&lt;20/24)</formula>
    </cfRule>
    <cfRule type="expression" dxfId="7203" priority="271">
      <formula>AND(Y$9&gt;=8/24,Y$9&lt;14/24)</formula>
    </cfRule>
    <cfRule type="expression" dxfId="7202" priority="272">
      <formula>Y$9&lt;8/24</formula>
    </cfRule>
  </conditionalFormatting>
  <conditionalFormatting sqref="C109 C111:C116">
    <cfRule type="expression" dxfId="7201" priority="265">
      <formula>C$9&gt;=20/24</formula>
    </cfRule>
    <cfRule type="expression" dxfId="7200" priority="266">
      <formula>AND(C$9&gt;=14/24,C$9&lt;20/24)</formula>
    </cfRule>
    <cfRule type="expression" dxfId="7199" priority="267">
      <formula>AND(C$9&gt;=8/24,C$9&lt;14/24)</formula>
    </cfRule>
    <cfRule type="expression" dxfId="7198" priority="268">
      <formula>C$9&lt;8/24</formula>
    </cfRule>
  </conditionalFormatting>
  <conditionalFormatting sqref="C47:S47">
    <cfRule type="expression" dxfId="7197" priority="261">
      <formula>C$9&gt;=20/24</formula>
    </cfRule>
    <cfRule type="expression" dxfId="7196" priority="262">
      <formula>AND(C$9&gt;=14/24,C$9&lt;20/24)</formula>
    </cfRule>
    <cfRule type="expression" dxfId="7195" priority="263">
      <formula>AND(C$9&gt;=8/24,C$9&lt;14/24)</formula>
    </cfRule>
    <cfRule type="expression" dxfId="7194" priority="264">
      <formula>C$9&lt;8/24</formula>
    </cfRule>
  </conditionalFormatting>
  <conditionalFormatting sqref="C47:S47">
    <cfRule type="expression" dxfId="7193" priority="260">
      <formula>C47&gt;$AG47</formula>
    </cfRule>
  </conditionalFormatting>
  <conditionalFormatting sqref="C99:D99">
    <cfRule type="expression" dxfId="7192" priority="256">
      <formula>C$9&gt;=20/24</formula>
    </cfRule>
    <cfRule type="expression" dxfId="7191" priority="257">
      <formula>AND(C$9&gt;=14/24,C$9&lt;20/24)</formula>
    </cfRule>
    <cfRule type="expression" dxfId="7190" priority="258">
      <formula>AND(C$9&gt;=8/24,C$9&lt;14/24)</formula>
    </cfRule>
    <cfRule type="expression" dxfId="7189" priority="259">
      <formula>C$9&lt;8/24</formula>
    </cfRule>
  </conditionalFormatting>
  <conditionalFormatting sqref="C86 C96:W96 C83:AF85 C73:D73 E74:S75 C100:G106 M76:S76 I67:P69 T74:W76 X75:AF76">
    <cfRule type="expression" dxfId="7188" priority="243">
      <formula>C$9&gt;=20/24</formula>
    </cfRule>
    <cfRule type="expression" dxfId="7187" priority="244">
      <formula>AND(C$9&gt;=14/24,C$9&lt;20/24)</formula>
    </cfRule>
    <cfRule type="expression" dxfId="7186" priority="245">
      <formula>AND(C$9&gt;=8/24,C$9&lt;14/24)</formula>
    </cfRule>
    <cfRule type="expression" dxfId="7185" priority="246">
      <formula>C$9&lt;8/24</formula>
    </cfRule>
  </conditionalFormatting>
  <conditionalFormatting sqref="G56:L57 I67:P69">
    <cfRule type="expression" dxfId="7184" priority="242">
      <formula>G56&gt;$AG56</formula>
    </cfRule>
  </conditionalFormatting>
  <conditionalFormatting sqref="G58:O58">
    <cfRule type="expression" dxfId="7183" priority="238">
      <formula>G$9&gt;=20/24</formula>
    </cfRule>
    <cfRule type="expression" dxfId="7182" priority="239">
      <formula>AND(G$9&gt;=14/24,G$9&lt;20/24)</formula>
    </cfRule>
    <cfRule type="expression" dxfId="7181" priority="240">
      <formula>AND(G$9&gt;=8/24,G$9&lt;14/24)</formula>
    </cfRule>
    <cfRule type="expression" dxfId="7180" priority="241">
      <formula>G$9&lt;8/24</formula>
    </cfRule>
  </conditionalFormatting>
  <conditionalFormatting sqref="G58:O58">
    <cfRule type="expression" dxfId="7179" priority="237">
      <formula>G58&gt;$AG58</formula>
    </cfRule>
  </conditionalFormatting>
  <conditionalFormatting sqref="B71:D71 B54:F57">
    <cfRule type="expression" dxfId="7178" priority="144">
      <formula>B$9&gt;=20/24</formula>
    </cfRule>
    <cfRule type="expression" dxfId="7177" priority="145">
      <formula>AND(B$9&gt;=14/24,B$9&lt;20/24)</formula>
    </cfRule>
    <cfRule type="expression" dxfId="7176" priority="146">
      <formula>AND(B$9&gt;=8/24,B$9&lt;14/24)</formula>
    </cfRule>
    <cfRule type="expression" dxfId="7175" priority="147">
      <formula>B$9&lt;8/24</formula>
    </cfRule>
  </conditionalFormatting>
  <conditionalFormatting sqref="C70:AF70 C87:AF87 C89:AF89 C98:AF98">
    <cfRule type="expression" dxfId="7174" priority="224">
      <formula>C$9&gt;=20/24</formula>
    </cfRule>
    <cfRule type="expression" dxfId="7173" priority="225">
      <formula>AND(C$9&gt;=14/24,C$9&lt;20/24)</formula>
    </cfRule>
    <cfRule type="expression" dxfId="7172" priority="226">
      <formula>AND(C$9&gt;=8/24,C$9&lt;14/24)</formula>
    </cfRule>
    <cfRule type="expression" dxfId="7171" priority="227">
      <formula>C$9&lt;8/24</formula>
    </cfRule>
  </conditionalFormatting>
  <conditionalFormatting sqref="C48:AF48 C65:AF66 C70:AF70">
    <cfRule type="expression" dxfId="7170" priority="223">
      <formula>C48&gt;$AG48</formula>
    </cfRule>
  </conditionalFormatting>
  <conditionalFormatting sqref="C82:AF82">
    <cfRule type="expression" dxfId="7169" priority="219">
      <formula>C$9&gt;=20/24</formula>
    </cfRule>
    <cfRule type="expression" dxfId="7168" priority="220">
      <formula>AND(C$9&gt;=14/24,C$9&lt;20/24)</formula>
    </cfRule>
    <cfRule type="expression" dxfId="7167" priority="221">
      <formula>AND(C$9&gt;=8/24,C$9&lt;14/24)</formula>
    </cfRule>
    <cfRule type="expression" dxfId="7166" priority="222">
      <formula>C$9&lt;8/24</formula>
    </cfRule>
  </conditionalFormatting>
  <conditionalFormatting sqref="C91:W95">
    <cfRule type="expression" dxfId="7165" priority="215">
      <formula>C$9&gt;=20/24</formula>
    </cfRule>
    <cfRule type="expression" dxfId="7164" priority="216">
      <formula>AND(C$9&gt;=14/24,C$9&lt;20/24)</formula>
    </cfRule>
    <cfRule type="expression" dxfId="7163" priority="217">
      <formula>AND(C$9&gt;=8/24,C$9&lt;14/24)</formula>
    </cfRule>
    <cfRule type="expression" dxfId="7162" priority="218">
      <formula>C$9&lt;8/24</formula>
    </cfRule>
  </conditionalFormatting>
  <conditionalFormatting sqref="C52:AF52">
    <cfRule type="expression" dxfId="7161" priority="206">
      <formula>C$9&gt;=20/24</formula>
    </cfRule>
    <cfRule type="expression" dxfId="7160" priority="207">
      <formula>AND(C$9&gt;=14/24,C$9&lt;20/24)</formula>
    </cfRule>
    <cfRule type="expression" dxfId="7159" priority="208">
      <formula>AND(C$9&gt;=8/24,C$9&lt;14/24)</formula>
    </cfRule>
    <cfRule type="expression" dxfId="7158" priority="209">
      <formula>C$9&lt;8/24</formula>
    </cfRule>
  </conditionalFormatting>
  <conditionalFormatting sqref="C52:AF52">
    <cfRule type="expression" dxfId="7157" priority="205">
      <formula>C52&gt;$AG52</formula>
    </cfRule>
  </conditionalFormatting>
  <conditionalFormatting sqref="B49:H51">
    <cfRule type="expression" dxfId="7156" priority="112">
      <formula>B$9&gt;=20/24</formula>
    </cfRule>
    <cfRule type="expression" dxfId="7155" priority="113">
      <formula>AND(B$9&gt;=14/24,B$9&lt;20/24)</formula>
    </cfRule>
    <cfRule type="expression" dxfId="7154" priority="114">
      <formula>AND(B$9&gt;=8/24,B$9&lt;14/24)</formula>
    </cfRule>
    <cfRule type="expression" dxfId="7153" priority="115">
      <formula>B$9&lt;8/24</formula>
    </cfRule>
  </conditionalFormatting>
  <conditionalFormatting sqref="C110">
    <cfRule type="expression" dxfId="7152" priority="189">
      <formula>C$9&gt;=20/24</formula>
    </cfRule>
    <cfRule type="expression" dxfId="7151" priority="190">
      <formula>AND(C$9&gt;=14/24,C$9&lt;20/24)</formula>
    </cfRule>
    <cfRule type="expression" dxfId="7150" priority="191">
      <formula>AND(C$9&gt;=8/24,C$9&lt;14/24)</formula>
    </cfRule>
    <cfRule type="expression" dxfId="7149" priority="192">
      <formula>C$9&lt;8/24</formula>
    </cfRule>
  </conditionalFormatting>
  <conditionalFormatting sqref="X59:AF64">
    <cfRule type="expression" dxfId="7148" priority="185">
      <formula>X$9&gt;=20/24</formula>
    </cfRule>
    <cfRule type="expression" dxfId="7147" priority="186">
      <formula>AND(X$9&gt;=14/24,X$9&lt;20/24)</formula>
    </cfRule>
    <cfRule type="expression" dxfId="7146" priority="187">
      <formula>AND(X$9&gt;=8/24,X$9&lt;14/24)</formula>
    </cfRule>
    <cfRule type="expression" dxfId="7145" priority="188">
      <formula>X$9&lt;8/24</formula>
    </cfRule>
  </conditionalFormatting>
  <conditionalFormatting sqref="X59:AF64">
    <cfRule type="expression" dxfId="7144" priority="184">
      <formula>X59&gt;$AG59</formula>
    </cfRule>
  </conditionalFormatting>
  <conditionalFormatting sqref="M77:AF81">
    <cfRule type="expression" dxfId="7143" priority="166">
      <formula>M$9&gt;=20/24</formula>
    </cfRule>
    <cfRule type="expression" dxfId="7142" priority="167">
      <formula>AND(M$9&gt;=14/24,M$9&lt;20/24)</formula>
    </cfRule>
    <cfRule type="expression" dxfId="7141" priority="168">
      <formula>AND(M$9&gt;=8/24,M$9&lt;14/24)</formula>
    </cfRule>
    <cfRule type="expression" dxfId="7140" priority="169">
      <formula>M$9&lt;8/24</formula>
    </cfRule>
  </conditionalFormatting>
  <conditionalFormatting sqref="AL78:AN78 AL84:AN84 AN79:AN80">
    <cfRule type="expression" dxfId="7139" priority="162">
      <formula>AL$9&gt;=20/24</formula>
    </cfRule>
    <cfRule type="expression" dxfId="7138" priority="163">
      <formula>AND(AL$9&gt;=14/24,AL$9&lt;20/24)</formula>
    </cfRule>
    <cfRule type="expression" dxfId="7137" priority="164">
      <formula>AND(AL$9&gt;=8/24,AL$9&lt;14/24)</formula>
    </cfRule>
    <cfRule type="expression" dxfId="7136" priority="165">
      <formula>AL$9&lt;8/24</formula>
    </cfRule>
  </conditionalFormatting>
  <conditionalFormatting sqref="AN81:AN82">
    <cfRule type="expression" dxfId="7135" priority="158">
      <formula>AN$9&gt;=20/24</formula>
    </cfRule>
    <cfRule type="expression" dxfId="7134" priority="159">
      <formula>AND(AN$9&gt;=14/24,AN$9&lt;20/24)</formula>
    </cfRule>
    <cfRule type="expression" dxfId="7133" priority="160">
      <formula>AND(AN$9&gt;=8/24,AN$9&lt;14/24)</formula>
    </cfRule>
    <cfRule type="expression" dxfId="7132" priority="161">
      <formula>AN$9&lt;8/24</formula>
    </cfRule>
  </conditionalFormatting>
  <conditionalFormatting sqref="AL79:AM83">
    <cfRule type="expression" dxfId="7131" priority="414">
      <formula>AJ$9&gt;=20/24</formula>
    </cfRule>
    <cfRule type="expression" dxfId="7130" priority="415">
      <formula>AND(AJ$9&gt;=14/24,AJ$9&lt;20/24)</formula>
    </cfRule>
    <cfRule type="expression" dxfId="7129" priority="416">
      <formula>AND(AJ$9&gt;=8/24,AJ$9&lt;14/24)</formula>
    </cfRule>
    <cfRule type="expression" dxfId="7128" priority="417">
      <formula>AJ$9&lt;8/24</formula>
    </cfRule>
  </conditionalFormatting>
  <conditionalFormatting sqref="A117">
    <cfRule type="expression" dxfId="7127" priority="157">
      <formula>$AH117=0</formula>
    </cfRule>
  </conditionalFormatting>
  <conditionalFormatting sqref="B109 B111:B116 B12:W15 B17:W32 B34:W43 B45:W45">
    <cfRule type="expression" dxfId="7126" priority="153">
      <formula>B$9&gt;=20/24</formula>
    </cfRule>
    <cfRule type="expression" dxfId="7125" priority="154">
      <formula>AND(B$9&gt;=14/24,B$9&lt;20/24)</formula>
    </cfRule>
    <cfRule type="expression" dxfId="7124" priority="155">
      <formula>AND(B$9&gt;=8/24,B$9&lt;14/24)</formula>
    </cfRule>
    <cfRule type="expression" dxfId="7123" priority="156">
      <formula>B$9&lt;8/24</formula>
    </cfRule>
  </conditionalFormatting>
  <conditionalFormatting sqref="B12:W15 B17:W32 B34:W43 B45:W45">
    <cfRule type="expression" dxfId="7122" priority="152">
      <formula>B12&gt;$AG12</formula>
    </cfRule>
  </conditionalFormatting>
  <conditionalFormatting sqref="B99">
    <cfRule type="expression" dxfId="7121" priority="148">
      <formula>B$9&gt;=20/24</formula>
    </cfRule>
    <cfRule type="expression" dxfId="7120" priority="149">
      <formula>AND(B$9&gt;=14/24,B$9&lt;20/24)</formula>
    </cfRule>
    <cfRule type="expression" dxfId="7119" priority="150">
      <formula>AND(B$9&gt;=8/24,B$9&lt;14/24)</formula>
    </cfRule>
    <cfRule type="expression" dxfId="7118" priority="151">
      <formula>B$9&lt;8/24</formula>
    </cfRule>
  </conditionalFormatting>
  <conditionalFormatting sqref="B53:F53">
    <cfRule type="expression" dxfId="7117" priority="140">
      <formula>B$9&gt;=20/24</formula>
    </cfRule>
    <cfRule type="expression" dxfId="7116" priority="141">
      <formula>AND(B$9&gt;=14/24,B$9&lt;20/24)</formula>
    </cfRule>
    <cfRule type="expression" dxfId="7115" priority="142">
      <formula>AND(B$9&gt;=8/24,B$9&lt;14/24)</formula>
    </cfRule>
    <cfRule type="expression" dxfId="7114" priority="143">
      <formula>B$9&lt;8/24</formula>
    </cfRule>
  </conditionalFormatting>
  <conditionalFormatting sqref="B53:F57">
    <cfRule type="expression" dxfId="7113" priority="139">
      <formula>B53&gt;$AG53</formula>
    </cfRule>
  </conditionalFormatting>
  <conditionalFormatting sqref="B96 B100:B106 B86 B47 B72:B74 C72:D72 C74:D74 B67:H69">
    <cfRule type="expression" dxfId="7112" priority="135">
      <formula>B$9&gt;=20/24</formula>
    </cfRule>
    <cfRule type="expression" dxfId="7111" priority="136">
      <formula>AND(B$9&gt;=14/24,B$9&lt;20/24)</formula>
    </cfRule>
    <cfRule type="expression" dxfId="7110" priority="137">
      <formula>AND(B$9&gt;=8/24,B$9&lt;14/24)</formula>
    </cfRule>
    <cfRule type="expression" dxfId="7109" priority="138">
      <formula>B$9&lt;8/24</formula>
    </cfRule>
  </conditionalFormatting>
  <conditionalFormatting sqref="B47 B67:H69">
    <cfRule type="expression" dxfId="7108" priority="134">
      <formula>B47&gt;$AG47</formula>
    </cfRule>
  </conditionalFormatting>
  <conditionalFormatting sqref="B97 B88:C88">
    <cfRule type="expression" dxfId="7107" priority="130">
      <formula>B$9&gt;=20/24</formula>
    </cfRule>
    <cfRule type="expression" dxfId="7106" priority="131">
      <formula>AND(B$9&gt;=14/24,B$9&lt;20/24)</formula>
    </cfRule>
    <cfRule type="expression" dxfId="7105" priority="132">
      <formula>AND(B$9&gt;=8/24,B$9&lt;14/24)</formula>
    </cfRule>
    <cfRule type="expression" dxfId="7104" priority="133">
      <formula>B$9&lt;8/24</formula>
    </cfRule>
  </conditionalFormatting>
  <conditionalFormatting sqref="B46:W46">
    <cfRule type="expression" dxfId="7103" priority="126">
      <formula>B$9&gt;=20/24</formula>
    </cfRule>
    <cfRule type="expression" dxfId="7102" priority="127">
      <formula>AND(B$9&gt;=14/24,B$9&lt;20/24)</formula>
    </cfRule>
    <cfRule type="expression" dxfId="7101" priority="128">
      <formula>AND(B$9&gt;=8/24,B$9&lt;14/24)</formula>
    </cfRule>
    <cfRule type="expression" dxfId="7100" priority="129">
      <formula>B$9&lt;8/24</formula>
    </cfRule>
  </conditionalFormatting>
  <conditionalFormatting sqref="B46:W46">
    <cfRule type="expression" dxfId="7099" priority="125">
      <formula>B46&gt;$AG46</formula>
    </cfRule>
  </conditionalFormatting>
  <conditionalFormatting sqref="B58:F58">
    <cfRule type="expression" dxfId="7098" priority="121">
      <formula>B$9&gt;=20/24</formula>
    </cfRule>
    <cfRule type="expression" dxfId="7097" priority="122">
      <formula>AND(B$9&gt;=14/24,B$9&lt;20/24)</formula>
    </cfRule>
    <cfRule type="expression" dxfId="7096" priority="123">
      <formula>AND(B$9&gt;=8/24,B$9&lt;14/24)</formula>
    </cfRule>
    <cfRule type="expression" dxfId="7095" priority="124">
      <formula>B$9&lt;8/24</formula>
    </cfRule>
  </conditionalFormatting>
  <conditionalFormatting sqref="B58:F58">
    <cfRule type="expression" dxfId="7094" priority="120">
      <formula>B58&gt;$AG58</formula>
    </cfRule>
  </conditionalFormatting>
  <conditionalFormatting sqref="B91:B95">
    <cfRule type="expression" dxfId="7093" priority="116">
      <formula>B$9&gt;=20/24</formula>
    </cfRule>
    <cfRule type="expression" dxfId="7092" priority="117">
      <formula>AND(B$9&gt;=14/24,B$9&lt;20/24)</formula>
    </cfRule>
    <cfRule type="expression" dxfId="7091" priority="118">
      <formula>AND(B$9&gt;=8/24,B$9&lt;14/24)</formula>
    </cfRule>
    <cfRule type="expression" dxfId="7090" priority="119">
      <formula>B$9&lt;8/24</formula>
    </cfRule>
  </conditionalFormatting>
  <conditionalFormatting sqref="B49:H51">
    <cfRule type="expression" dxfId="7089" priority="111">
      <formula>B49&gt;$AG49</formula>
    </cfRule>
  </conditionalFormatting>
  <conditionalFormatting sqref="B107">
    <cfRule type="expression" dxfId="7088" priority="107">
      <formula>B$9&gt;=20/24</formula>
    </cfRule>
    <cfRule type="expression" dxfId="7087" priority="108">
      <formula>AND(B$9&gt;=14/24,B$9&lt;20/24)</formula>
    </cfRule>
    <cfRule type="expression" dxfId="7086" priority="109">
      <formula>AND(B$9&gt;=8/24,B$9&lt;14/24)</formula>
    </cfRule>
    <cfRule type="expression" dxfId="7085" priority="110">
      <formula>B$9&lt;8/24</formula>
    </cfRule>
  </conditionalFormatting>
  <conditionalFormatting sqref="B110">
    <cfRule type="expression" dxfId="7084" priority="99">
      <formula>B$9&gt;=20/24</formula>
    </cfRule>
    <cfRule type="expression" dxfId="7083" priority="100">
      <formula>AND(B$9&gt;=14/24,B$9&lt;20/24)</formula>
    </cfRule>
    <cfRule type="expression" dxfId="7082" priority="101">
      <formula>AND(B$9&gt;=8/24,B$9&lt;14/24)</formula>
    </cfRule>
    <cfRule type="expression" dxfId="7081" priority="102">
      <formula>B$9&lt;8/24</formula>
    </cfRule>
  </conditionalFormatting>
  <conditionalFormatting sqref="B83:B85 B75:D76 E76:L76">
    <cfRule type="expression" dxfId="7080" priority="95">
      <formula>B$9&gt;=20/24</formula>
    </cfRule>
    <cfRule type="expression" dxfId="7079" priority="96">
      <formula>AND(B$9&gt;=14/24,B$9&lt;20/24)</formula>
    </cfRule>
    <cfRule type="expression" dxfId="7078" priority="97">
      <formula>AND(B$9&gt;=8/24,B$9&lt;14/24)</formula>
    </cfRule>
    <cfRule type="expression" dxfId="7077" priority="98">
      <formula>B$9&lt;8/24</formula>
    </cfRule>
  </conditionalFormatting>
  <conditionalFormatting sqref="B89 B98 B70 B87">
    <cfRule type="expression" dxfId="7076" priority="91">
      <formula>B$9&gt;=20/24</formula>
    </cfRule>
    <cfRule type="expression" dxfId="7075" priority="92">
      <formula>AND(B$9&gt;=14/24,B$9&lt;20/24)</formula>
    </cfRule>
    <cfRule type="expression" dxfId="7074" priority="93">
      <formula>AND(B$9&gt;=8/24,B$9&lt;14/24)</formula>
    </cfRule>
    <cfRule type="expression" dxfId="7073" priority="94">
      <formula>B$9&lt;8/24</formula>
    </cfRule>
  </conditionalFormatting>
  <conditionalFormatting sqref="B48 B65:B66 B70">
    <cfRule type="expression" dxfId="7072" priority="90">
      <formula>B48&gt;$AG48</formula>
    </cfRule>
  </conditionalFormatting>
  <conditionalFormatting sqref="B82">
    <cfRule type="expression" dxfId="7071" priority="86">
      <formula>B$9&gt;=20/24</formula>
    </cfRule>
    <cfRule type="expression" dxfId="7070" priority="87">
      <formula>AND(B$9&gt;=14/24,B$9&lt;20/24)</formula>
    </cfRule>
    <cfRule type="expression" dxfId="7069" priority="88">
      <formula>AND(B$9&gt;=8/24,B$9&lt;14/24)</formula>
    </cfRule>
    <cfRule type="expression" dxfId="7068" priority="89">
      <formula>B$9&lt;8/24</formula>
    </cfRule>
  </conditionalFormatting>
  <conditionalFormatting sqref="B52">
    <cfRule type="expression" dxfId="7067" priority="82">
      <formula>B$9&gt;=20/24</formula>
    </cfRule>
    <cfRule type="expression" dxfId="7066" priority="83">
      <formula>AND(B$9&gt;=14/24,B$9&lt;20/24)</formula>
    </cfRule>
    <cfRule type="expression" dxfId="7065" priority="84">
      <formula>AND(B$9&gt;=8/24,B$9&lt;14/24)</formula>
    </cfRule>
    <cfRule type="expression" dxfId="7064" priority="85">
      <formula>B$9&lt;8/24</formula>
    </cfRule>
  </conditionalFormatting>
  <conditionalFormatting sqref="B52">
    <cfRule type="expression" dxfId="7063" priority="81">
      <formula>B52&gt;$AG52</formula>
    </cfRule>
  </conditionalFormatting>
  <conditionalFormatting sqref="B59:W64">
    <cfRule type="expression" dxfId="7062" priority="73">
      <formula>B$9&gt;=20/24</formula>
    </cfRule>
    <cfRule type="expression" dxfId="7061" priority="74">
      <formula>AND(B$9&gt;=14/24,B$9&lt;20/24)</formula>
    </cfRule>
    <cfRule type="expression" dxfId="7060" priority="75">
      <formula>AND(B$9&gt;=8/24,B$9&lt;14/24)</formula>
    </cfRule>
    <cfRule type="expression" dxfId="7059" priority="76">
      <formula>B$9&lt;8/24</formula>
    </cfRule>
  </conditionalFormatting>
  <conditionalFormatting sqref="B59:W64">
    <cfRule type="expression" dxfId="7058" priority="72">
      <formula>B59&gt;$AG59</formula>
    </cfRule>
  </conditionalFormatting>
  <conditionalFormatting sqref="B77:L81">
    <cfRule type="expression" dxfId="7057" priority="68">
      <formula>B$9&gt;=20/24</formula>
    </cfRule>
    <cfRule type="expression" dxfId="7056" priority="69">
      <formula>AND(B$9&gt;=14/24,B$9&lt;20/24)</formula>
    </cfRule>
    <cfRule type="expression" dxfId="7055" priority="70">
      <formula>AND(B$9&gt;=8/24,B$9&lt;14/24)</formula>
    </cfRule>
    <cfRule type="expression" dxfId="7054" priority="71">
      <formula>B$9&lt;8/24</formula>
    </cfRule>
  </conditionalFormatting>
  <conditionalFormatting sqref="X11:AF11">
    <cfRule type="expression" dxfId="7053" priority="64">
      <formula>X$9&gt;=20/24</formula>
    </cfRule>
    <cfRule type="expression" dxfId="7052" priority="65">
      <formula>AND(X$9&gt;=14/24,X$9&lt;20/24)</formula>
    </cfRule>
    <cfRule type="expression" dxfId="7051" priority="66">
      <formula>AND(X$9&gt;=8/24,X$9&lt;14/24)</formula>
    </cfRule>
    <cfRule type="expression" dxfId="7050" priority="67">
      <formula>X$9&lt;8/24</formula>
    </cfRule>
  </conditionalFormatting>
  <conditionalFormatting sqref="X11:AF11">
    <cfRule type="expression" dxfId="7049" priority="63">
      <formula>X11&gt;$AG11</formula>
    </cfRule>
  </conditionalFormatting>
  <conditionalFormatting sqref="A11">
    <cfRule type="expression" dxfId="7048" priority="62">
      <formula>$AH11=0</formula>
    </cfRule>
  </conditionalFormatting>
  <conditionalFormatting sqref="B11:W11">
    <cfRule type="expression" dxfId="7047" priority="53">
      <formula>B$9&gt;=20/24</formula>
    </cfRule>
    <cfRule type="expression" dxfId="7046" priority="54">
      <formula>AND(B$9&gt;=14/24,B$9&lt;20/24)</formula>
    </cfRule>
    <cfRule type="expression" dxfId="7045" priority="55">
      <formula>AND(B$9&gt;=8/24,B$9&lt;14/24)</formula>
    </cfRule>
    <cfRule type="expression" dxfId="7044" priority="56">
      <formula>B$9&lt;8/24</formula>
    </cfRule>
  </conditionalFormatting>
  <conditionalFormatting sqref="B11:W11">
    <cfRule type="expression" dxfId="7043" priority="52">
      <formula>B11&gt;$AG11</formula>
    </cfRule>
  </conditionalFormatting>
  <conditionalFormatting sqref="X16:AF16">
    <cfRule type="expression" dxfId="7042" priority="47">
      <formula>X$9&gt;=20/24</formula>
    </cfRule>
    <cfRule type="expression" dxfId="7041" priority="48">
      <formula>AND(X$9&gt;=14/24,X$9&lt;20/24)</formula>
    </cfRule>
    <cfRule type="expression" dxfId="7040" priority="49">
      <formula>AND(X$9&gt;=8/24,X$9&lt;14/24)</formula>
    </cfRule>
    <cfRule type="expression" dxfId="7039" priority="50">
      <formula>X$9&lt;8/24</formula>
    </cfRule>
  </conditionalFormatting>
  <conditionalFormatting sqref="X16:AF16">
    <cfRule type="expression" dxfId="7038" priority="46">
      <formula>X16&gt;$AG16</formula>
    </cfRule>
  </conditionalFormatting>
  <conditionalFormatting sqref="A16">
    <cfRule type="expression" dxfId="7037" priority="45">
      <formula>$AH16=0</formula>
    </cfRule>
  </conditionalFormatting>
  <conditionalFormatting sqref="AL16">
    <cfRule type="iconSet" priority="51">
      <iconSet iconSet="3TrafficLights2" reverse="1">
        <cfvo type="percent" val="0"/>
        <cfvo type="num" val="1"/>
        <cfvo type="num" val="1"/>
      </iconSet>
    </cfRule>
  </conditionalFormatting>
  <conditionalFormatting sqref="B16:W16">
    <cfRule type="expression" dxfId="7036" priority="36">
      <formula>B$9&gt;=20/24</formula>
    </cfRule>
    <cfRule type="expression" dxfId="7035" priority="37">
      <formula>AND(B$9&gt;=14/24,B$9&lt;20/24)</formula>
    </cfRule>
    <cfRule type="expression" dxfId="7034" priority="38">
      <formula>AND(B$9&gt;=8/24,B$9&lt;14/24)</formula>
    </cfRule>
    <cfRule type="expression" dxfId="7033" priority="39">
      <formula>B$9&lt;8/24</formula>
    </cfRule>
  </conditionalFormatting>
  <conditionalFormatting sqref="B16:W16">
    <cfRule type="expression" dxfId="7032" priority="35">
      <formula>B16&gt;$AG16</formula>
    </cfRule>
  </conditionalFormatting>
  <conditionalFormatting sqref="X33:AF33">
    <cfRule type="expression" dxfId="7031" priority="30">
      <formula>X$9&gt;=20/24</formula>
    </cfRule>
    <cfRule type="expression" dxfId="7030" priority="31">
      <formula>AND(X$9&gt;=14/24,X$9&lt;20/24)</formula>
    </cfRule>
    <cfRule type="expression" dxfId="7029" priority="32">
      <formula>AND(X$9&gt;=8/24,X$9&lt;14/24)</formula>
    </cfRule>
    <cfRule type="expression" dxfId="7028" priority="33">
      <formula>X$9&lt;8/24</formula>
    </cfRule>
  </conditionalFormatting>
  <conditionalFormatting sqref="X33:AF33">
    <cfRule type="expression" dxfId="7027" priority="29">
      <formula>X33&gt;$AG33</formula>
    </cfRule>
  </conditionalFormatting>
  <conditionalFormatting sqref="A33">
    <cfRule type="expression" dxfId="7026" priority="28">
      <formula>$AH33=0</formula>
    </cfRule>
  </conditionalFormatting>
  <conditionalFormatting sqref="AL33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B33:W33">
    <cfRule type="expression" dxfId="7025" priority="19">
      <formula>B$9&gt;=20/24</formula>
    </cfRule>
    <cfRule type="expression" dxfId="7024" priority="20">
      <formula>AND(B$9&gt;=14/24,B$9&lt;20/24)</formula>
    </cfRule>
    <cfRule type="expression" dxfId="7023" priority="21">
      <formula>AND(B$9&gt;=8/24,B$9&lt;14/24)</formula>
    </cfRule>
    <cfRule type="expression" dxfId="7022" priority="22">
      <formula>B$9&lt;8/24</formula>
    </cfRule>
  </conditionalFormatting>
  <conditionalFormatting sqref="B33:W33">
    <cfRule type="expression" dxfId="7021" priority="18">
      <formula>B33&gt;$AG33</formula>
    </cfRule>
  </conditionalFormatting>
  <conditionalFormatting sqref="X44:AF44">
    <cfRule type="expression" dxfId="7020" priority="13">
      <formula>X$9&gt;=20/24</formula>
    </cfRule>
    <cfRule type="expression" dxfId="7019" priority="14">
      <formula>AND(X$9&gt;=14/24,X$9&lt;20/24)</formula>
    </cfRule>
    <cfRule type="expression" dxfId="7018" priority="15">
      <formula>AND(X$9&gt;=8/24,X$9&lt;14/24)</formula>
    </cfRule>
    <cfRule type="expression" dxfId="7017" priority="16">
      <formula>X$9&lt;8/24</formula>
    </cfRule>
  </conditionalFormatting>
  <conditionalFormatting sqref="X44:AF44">
    <cfRule type="expression" dxfId="7016" priority="12">
      <formula>X44&gt;$AG44</formula>
    </cfRule>
  </conditionalFormatting>
  <conditionalFormatting sqref="A44">
    <cfRule type="expression" dxfId="7015" priority="11">
      <formula>$AH44=0</formula>
    </cfRule>
  </conditionalFormatting>
  <conditionalFormatting sqref="AL44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B44:W44">
    <cfRule type="expression" dxfId="7014" priority="2">
      <formula>B$9&gt;=20/24</formula>
    </cfRule>
    <cfRule type="expression" dxfId="7013" priority="3">
      <formula>AND(B$9&gt;=14/24,B$9&lt;20/24)</formula>
    </cfRule>
    <cfRule type="expression" dxfId="7012" priority="4">
      <formula>AND(B$9&gt;=8/24,B$9&lt;14/24)</formula>
    </cfRule>
    <cfRule type="expression" dxfId="7011" priority="5">
      <formula>B$9&lt;8/24</formula>
    </cfRule>
  </conditionalFormatting>
  <conditionalFormatting sqref="B44:W44">
    <cfRule type="expression" dxfId="7010" priority="1">
      <formula>B44&gt;$AG44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0" id="{EAEE447C-2AF8-4124-AA13-D86C2CBB10A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1" id="{2259D1D5-730D-45A7-A00F-258B7C4B6B8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2" id="{8A1D6B24-402B-45A9-BA8F-9FEE829E3CE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93" id="{DC27404F-5F15-424A-A6A1-E2E75FECF7C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D117:AF117</xm:sqref>
        </x14:conditionalFormatting>
        <x14:conditionalFormatting xmlns:xm="http://schemas.microsoft.com/office/excel/2006/main">
          <x14:cfRule type="expression" priority="286" id="{A35C14A3-FB1B-45C1-AC89-E543022E249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87" id="{5A0BCD11-9AD5-4658-8980-F58100920A5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88" id="{D3B69CBF-B71B-40F9-9BAA-1B8EB9914C0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9" id="{B5696F20-7BEC-4A06-B275-520F3946354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C117</xm:sqref>
        </x14:conditionalFormatting>
        <x14:conditionalFormatting xmlns:xm="http://schemas.microsoft.com/office/excel/2006/main">
          <x14:cfRule type="expression" priority="197" id="{AB9FCE5D-A5BE-4D0C-B32F-AD85FECCC38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8" id="{752B7A59-273C-4EFF-83BE-918C2FDDEC9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9" id="{85DB95FB-87FF-4817-8905-E726DCDA066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0" id="{DC292E53-5763-4039-97EF-F4E7EB49382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103" id="{27B6D01A-E007-4836-877B-76463D82E6D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4" id="{6E35F069-9C80-444D-B2C5-13B42FBADFE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5" id="{9FD90027-D959-45FE-8DAD-E9A192505BC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6" id="{76409BB4-C97E-4459-80D4-3952E0C6633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B117</xm:sqref>
        </x14:conditionalFormatting>
        <x14:conditionalFormatting xmlns:xm="http://schemas.microsoft.com/office/excel/2006/main">
          <x14:cfRule type="expression" priority="77" id="{DD1FF060-7D5B-41F4-9B30-F9B06DF4162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8" id="{22AA0DF5-A216-489E-B7BF-6079AEDC032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9" id="{7FAEA8CF-BFC0-4BEB-9D86-7A79F82663F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0" id="{9D3B2BB8-B1B8-4E6A-8F24-657DA6C18F7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8"/>
  <sheetViews>
    <sheetView workbookViewId="0">
      <pane ySplit="10" topLeftCell="A53" activePane="bottomLeft" state="frozen"/>
      <selection activeCell="Z85" sqref="Z85"/>
      <selection pane="bottomLeft" activeCell="AE51" sqref="AE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2079/11/16</v>
      </c>
      <c r="C4" s="208"/>
      <c r="D4" s="208"/>
      <c r="E4" s="209" t="str">
        <f ca="1">"2079/"&amp;"11/"&amp;INT(MID(CELL("filename",G6),FIND("]",CELL("filename",G6))+1,200))</f>
        <v>2079/11/16</v>
      </c>
      <c r="F4" s="209"/>
      <c r="G4" s="209"/>
      <c r="H4" s="209" t="str">
        <f ca="1">TEXT(E4,"dddd")</f>
        <v>Thursday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317</v>
      </c>
      <c r="C5" s="30">
        <f t="shared" si="0"/>
        <v>302</v>
      </c>
      <c r="D5" s="30">
        <f t="shared" si="0"/>
        <v>307</v>
      </c>
      <c r="E5" s="30">
        <f t="shared" si="0"/>
        <v>331</v>
      </c>
      <c r="F5" s="30">
        <f t="shared" si="0"/>
        <v>351</v>
      </c>
      <c r="G5" s="30">
        <f t="shared" si="0"/>
        <v>363</v>
      </c>
      <c r="H5" s="30">
        <f t="shared" si="0"/>
        <v>215</v>
      </c>
      <c r="I5" s="30">
        <f t="shared" si="0"/>
        <v>121</v>
      </c>
      <c r="J5" s="30">
        <f t="shared" si="0"/>
        <v>54</v>
      </c>
      <c r="K5" s="30">
        <f t="shared" si="0"/>
        <v>36</v>
      </c>
      <c r="L5" s="30">
        <f t="shared" si="0"/>
        <v>42.9</v>
      </c>
      <c r="M5" s="30">
        <f t="shared" si="0"/>
        <v>182</v>
      </c>
      <c r="N5" s="30">
        <f t="shared" si="0"/>
        <v>332.40000000000003</v>
      </c>
      <c r="O5" s="30">
        <f t="shared" si="0"/>
        <v>467.2</v>
      </c>
      <c r="P5" s="30">
        <f t="shared" si="0"/>
        <v>443.8</v>
      </c>
      <c r="Q5" s="30">
        <f t="shared" si="0"/>
        <v>448.5</v>
      </c>
      <c r="R5" s="30">
        <f t="shared" si="0"/>
        <v>527</v>
      </c>
      <c r="S5" s="30">
        <f t="shared" si="0"/>
        <v>527</v>
      </c>
      <c r="T5" s="30">
        <f t="shared" si="0"/>
        <v>525.4</v>
      </c>
      <c r="U5" s="30">
        <f t="shared" si="0"/>
        <v>474</v>
      </c>
      <c r="V5" s="30">
        <f t="shared" si="0"/>
        <v>486.3</v>
      </c>
      <c r="W5" s="30">
        <f t="shared" si="0"/>
        <v>398</v>
      </c>
      <c r="X5" s="30">
        <f t="shared" si="0"/>
        <v>430</v>
      </c>
      <c r="Y5" s="30">
        <f t="shared" si="0"/>
        <v>304</v>
      </c>
      <c r="Z5" s="30">
        <f t="shared" si="0"/>
        <v>319</v>
      </c>
      <c r="AA5" s="30">
        <f t="shared" si="0"/>
        <v>399.2</v>
      </c>
      <c r="AB5" s="30">
        <f t="shared" si="0"/>
        <v>472</v>
      </c>
      <c r="AC5" s="30">
        <f t="shared" si="0"/>
        <v>505</v>
      </c>
      <c r="AD5" s="30">
        <f t="shared" si="0"/>
        <v>505</v>
      </c>
      <c r="AE5" s="30">
        <f t="shared" si="0"/>
        <v>497</v>
      </c>
      <c r="AF5" s="30">
        <f>B82</f>
        <v>356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1529MW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Load=978</v>
      </c>
      <c r="B7" s="35">
        <f t="shared" ref="B7:AF7" si="1">B89</f>
        <v>1031.74</v>
      </c>
      <c r="C7" s="35">
        <f t="shared" si="1"/>
        <v>992.74</v>
      </c>
      <c r="D7" s="35">
        <f t="shared" si="1"/>
        <v>977.74</v>
      </c>
      <c r="E7" s="35">
        <f t="shared" si="1"/>
        <v>1001.84</v>
      </c>
      <c r="F7" s="35">
        <f t="shared" si="1"/>
        <v>1025.8400000000001</v>
      </c>
      <c r="G7" s="35">
        <f t="shared" si="1"/>
        <v>1095.3400000000001</v>
      </c>
      <c r="H7" s="35">
        <f t="shared" si="1"/>
        <v>1152.6399999999999</v>
      </c>
      <c r="I7" s="35">
        <f t="shared" si="1"/>
        <v>1213.2399999999998</v>
      </c>
      <c r="J7" s="35">
        <f t="shared" si="1"/>
        <v>1333.24</v>
      </c>
      <c r="K7" s="35">
        <f t="shared" si="1"/>
        <v>1435.24</v>
      </c>
      <c r="L7" s="35">
        <f t="shared" si="1"/>
        <v>1469.24</v>
      </c>
      <c r="M7" s="35">
        <f t="shared" si="1"/>
        <v>1528.54</v>
      </c>
      <c r="N7" s="35">
        <f>N89</f>
        <v>1372.1399999999999</v>
      </c>
      <c r="O7" s="35">
        <f t="shared" si="1"/>
        <v>1289.6399999999999</v>
      </c>
      <c r="P7" s="35">
        <f t="shared" si="1"/>
        <v>1318.94</v>
      </c>
      <c r="Q7" s="35">
        <f t="shared" si="1"/>
        <v>1156.04</v>
      </c>
      <c r="R7" s="35">
        <f t="shared" si="1"/>
        <v>1105.1399999999999</v>
      </c>
      <c r="S7" s="35">
        <f t="shared" si="1"/>
        <v>1180.6399999999999</v>
      </c>
      <c r="T7" s="35">
        <f t="shared" si="1"/>
        <v>1214.24</v>
      </c>
      <c r="U7" s="35">
        <f t="shared" si="1"/>
        <v>1260.1399999999999</v>
      </c>
      <c r="V7" s="35">
        <f t="shared" si="1"/>
        <v>1251.24</v>
      </c>
      <c r="W7" s="35">
        <f t="shared" si="1"/>
        <v>1368.84</v>
      </c>
      <c r="X7" s="35">
        <f t="shared" si="1"/>
        <v>1440.64</v>
      </c>
      <c r="Y7" s="35">
        <f t="shared" si="1"/>
        <v>1602.04</v>
      </c>
      <c r="Z7" s="35">
        <f t="shared" si="1"/>
        <v>1539.04</v>
      </c>
      <c r="AA7" s="35">
        <f t="shared" si="1"/>
        <v>1526.74</v>
      </c>
      <c r="AB7" s="35">
        <f t="shared" si="1"/>
        <v>1419.1399999999999</v>
      </c>
      <c r="AC7" s="35">
        <f t="shared" si="1"/>
        <v>1355.94</v>
      </c>
      <c r="AD7" s="35">
        <f t="shared" si="1"/>
        <v>1138.54</v>
      </c>
      <c r="AE7" s="35">
        <f t="shared" si="1"/>
        <v>1081.04</v>
      </c>
      <c r="AF7" s="35">
        <f t="shared" si="1"/>
        <v>1028.04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14.1</v>
      </c>
      <c r="C12" s="45">
        <v>14.1</v>
      </c>
      <c r="D12" s="45">
        <v>14.1</v>
      </c>
      <c r="E12" s="45">
        <v>14.1</v>
      </c>
      <c r="F12" s="45">
        <v>14.1</v>
      </c>
      <c r="G12" s="45">
        <v>14.1</v>
      </c>
      <c r="H12" s="45">
        <v>14.1</v>
      </c>
      <c r="I12" s="45">
        <v>14.1</v>
      </c>
      <c r="J12" s="45">
        <v>14.1</v>
      </c>
      <c r="K12" s="45">
        <v>14.1</v>
      </c>
      <c r="L12" s="45">
        <v>14.1</v>
      </c>
      <c r="M12" s="45">
        <v>14.1</v>
      </c>
      <c r="N12" s="45">
        <v>14.1</v>
      </c>
      <c r="O12" s="45">
        <v>14.1</v>
      </c>
      <c r="P12" s="45">
        <v>14.1</v>
      </c>
      <c r="Q12" s="45">
        <v>14.1</v>
      </c>
      <c r="R12" s="45">
        <v>14.1</v>
      </c>
      <c r="S12" s="45">
        <v>14.1</v>
      </c>
      <c r="T12" s="45">
        <v>14.1</v>
      </c>
      <c r="U12" s="45">
        <v>14.1</v>
      </c>
      <c r="V12" s="45">
        <v>14.1</v>
      </c>
      <c r="W12" s="45">
        <v>14.1</v>
      </c>
      <c r="X12" s="45">
        <v>14.1</v>
      </c>
      <c r="Y12" s="45">
        <v>14.1</v>
      </c>
      <c r="Z12" s="45">
        <v>14.1</v>
      </c>
      <c r="AA12" s="45">
        <v>14.1</v>
      </c>
      <c r="AB12" s="45">
        <v>14.1</v>
      </c>
      <c r="AC12" s="45">
        <v>14.1</v>
      </c>
      <c r="AD12" s="45">
        <v>14.1</v>
      </c>
      <c r="AE12" s="45">
        <v>14.1</v>
      </c>
      <c r="AF12" s="45">
        <v>14.1</v>
      </c>
      <c r="AG12" s="46">
        <v>52.4</v>
      </c>
      <c r="AH12" s="47">
        <f t="shared" si="2"/>
        <v>14.1</v>
      </c>
      <c r="AI12" s="48">
        <f t="shared" si="3"/>
        <v>14.1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30.7</v>
      </c>
      <c r="C13" s="45">
        <v>30.7</v>
      </c>
      <c r="D13" s="45">
        <v>30.7</v>
      </c>
      <c r="E13" s="45">
        <v>30.7</v>
      </c>
      <c r="F13" s="45">
        <v>30.7</v>
      </c>
      <c r="G13" s="45">
        <v>30.7</v>
      </c>
      <c r="H13" s="45">
        <v>30.7</v>
      </c>
      <c r="I13" s="45">
        <v>30.7</v>
      </c>
      <c r="J13" s="45">
        <v>30.7</v>
      </c>
      <c r="K13" s="45">
        <v>30.7</v>
      </c>
      <c r="L13" s="45">
        <v>30.7</v>
      </c>
      <c r="M13" s="45">
        <v>30.7</v>
      </c>
      <c r="N13" s="45">
        <v>30.7</v>
      </c>
      <c r="O13" s="45">
        <v>30.7</v>
      </c>
      <c r="P13" s="45">
        <v>30.7</v>
      </c>
      <c r="Q13" s="45">
        <v>30.7</v>
      </c>
      <c r="R13" s="45">
        <v>30.7</v>
      </c>
      <c r="S13" s="45">
        <v>30.7</v>
      </c>
      <c r="T13" s="45">
        <v>30.7</v>
      </c>
      <c r="U13" s="45">
        <v>30.7</v>
      </c>
      <c r="V13" s="45">
        <v>30.7</v>
      </c>
      <c r="W13" s="45">
        <v>30.7</v>
      </c>
      <c r="X13" s="45">
        <v>30.7</v>
      </c>
      <c r="Y13" s="45">
        <v>30.7</v>
      </c>
      <c r="Z13" s="45">
        <v>30.7</v>
      </c>
      <c r="AA13" s="45">
        <v>30.7</v>
      </c>
      <c r="AB13" s="45">
        <v>30.7</v>
      </c>
      <c r="AC13" s="45">
        <v>30.7</v>
      </c>
      <c r="AD13" s="45">
        <v>30.7</v>
      </c>
      <c r="AE13" s="45">
        <v>30.7</v>
      </c>
      <c r="AF13" s="45">
        <v>30.7</v>
      </c>
      <c r="AG13" s="50">
        <v>50</v>
      </c>
      <c r="AH13" s="47">
        <f t="shared" si="2"/>
        <v>30.7</v>
      </c>
      <c r="AI13" s="48">
        <f t="shared" si="3"/>
        <v>30.7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50">
        <v>45</v>
      </c>
      <c r="AH14" s="47">
        <f t="shared" si="2"/>
        <v>15.4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9</v>
      </c>
      <c r="C15" s="45">
        <v>9</v>
      </c>
      <c r="D15" s="45">
        <v>9</v>
      </c>
      <c r="E15" s="45">
        <v>9</v>
      </c>
      <c r="F15" s="45">
        <v>9</v>
      </c>
      <c r="G15" s="45">
        <v>9</v>
      </c>
      <c r="H15" s="45">
        <v>9</v>
      </c>
      <c r="I15" s="45">
        <v>9</v>
      </c>
      <c r="J15" s="45">
        <v>9</v>
      </c>
      <c r="K15" s="45">
        <v>9</v>
      </c>
      <c r="L15" s="45">
        <v>9</v>
      </c>
      <c r="M15" s="45">
        <v>9</v>
      </c>
      <c r="N15" s="45">
        <v>9</v>
      </c>
      <c r="O15" s="45">
        <v>9</v>
      </c>
      <c r="P15" s="45">
        <v>9</v>
      </c>
      <c r="Q15" s="45">
        <v>9</v>
      </c>
      <c r="R15" s="45">
        <v>9</v>
      </c>
      <c r="S15" s="45">
        <v>9</v>
      </c>
      <c r="T15" s="45">
        <v>9</v>
      </c>
      <c r="U15" s="45">
        <v>9</v>
      </c>
      <c r="V15" s="45">
        <v>9</v>
      </c>
      <c r="W15" s="45">
        <v>9</v>
      </c>
      <c r="X15" s="45">
        <v>9</v>
      </c>
      <c r="Y15" s="45">
        <v>9</v>
      </c>
      <c r="Z15" s="45">
        <v>9</v>
      </c>
      <c r="AA15" s="45">
        <v>9</v>
      </c>
      <c r="AB15" s="45">
        <v>9</v>
      </c>
      <c r="AC15" s="45">
        <v>9</v>
      </c>
      <c r="AD15" s="45">
        <v>9</v>
      </c>
      <c r="AE15" s="45">
        <v>9</v>
      </c>
      <c r="AF15" s="45">
        <v>9</v>
      </c>
      <c r="AG15" s="50">
        <v>42</v>
      </c>
      <c r="AH15" s="47">
        <f t="shared" si="2"/>
        <v>9</v>
      </c>
      <c r="AI15" s="48">
        <f t="shared" si="3"/>
        <v>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2"/>
        <v>12.5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8.1999999999999993</v>
      </c>
      <c r="C18" s="45">
        <v>8.1999999999999993</v>
      </c>
      <c r="D18" s="45">
        <v>8.1999999999999993</v>
      </c>
      <c r="E18" s="45">
        <v>8.1999999999999993</v>
      </c>
      <c r="F18" s="45">
        <v>8.1999999999999993</v>
      </c>
      <c r="G18" s="45">
        <v>8.1999999999999993</v>
      </c>
      <c r="H18" s="45">
        <v>8.1999999999999993</v>
      </c>
      <c r="I18" s="45">
        <v>8.1999999999999993</v>
      </c>
      <c r="J18" s="45">
        <v>8.1999999999999993</v>
      </c>
      <c r="K18" s="45">
        <v>8.1999999999999993</v>
      </c>
      <c r="L18" s="45">
        <v>8.1999999999999993</v>
      </c>
      <c r="M18" s="45">
        <v>8.1999999999999993</v>
      </c>
      <c r="N18" s="45">
        <v>8.1999999999999993</v>
      </c>
      <c r="O18" s="45">
        <v>8.1999999999999993</v>
      </c>
      <c r="P18" s="45">
        <v>8.1999999999999993</v>
      </c>
      <c r="Q18" s="45">
        <v>8.1999999999999993</v>
      </c>
      <c r="R18" s="45">
        <v>8.1999999999999993</v>
      </c>
      <c r="S18" s="45">
        <v>8.1999999999999993</v>
      </c>
      <c r="T18" s="45">
        <v>8.1999999999999993</v>
      </c>
      <c r="U18" s="45">
        <v>8.1999999999999993</v>
      </c>
      <c r="V18" s="45">
        <v>8.1999999999999993</v>
      </c>
      <c r="W18" s="45">
        <v>8.1999999999999993</v>
      </c>
      <c r="X18" s="45">
        <v>8.1999999999999993</v>
      </c>
      <c r="Y18" s="45">
        <v>8.1999999999999993</v>
      </c>
      <c r="Z18" s="45">
        <v>8.1999999999999993</v>
      </c>
      <c r="AA18" s="45">
        <v>8.1999999999999993</v>
      </c>
      <c r="AB18" s="45">
        <v>8.1999999999999993</v>
      </c>
      <c r="AC18" s="45">
        <v>8.1999999999999993</v>
      </c>
      <c r="AD18" s="45">
        <v>8.1999999999999993</v>
      </c>
      <c r="AE18" s="45">
        <v>8.1999999999999993</v>
      </c>
      <c r="AF18" s="45">
        <v>8.1999999999999993</v>
      </c>
      <c r="AG18" s="51">
        <v>30</v>
      </c>
      <c r="AH18" s="47">
        <f t="shared" si="2"/>
        <v>8.1999999999999993</v>
      </c>
      <c r="AI18" s="48">
        <f t="shared" si="3"/>
        <v>8.1999999999999993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</v>
      </c>
      <c r="C22" s="45">
        <v>9.6</v>
      </c>
      <c r="D22" s="45">
        <v>9.6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9.6</v>
      </c>
      <c r="N22" s="45">
        <v>9.6</v>
      </c>
      <c r="O22" s="45">
        <v>9.6</v>
      </c>
      <c r="P22" s="45">
        <v>9.6</v>
      </c>
      <c r="Q22" s="45">
        <v>9.6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45">
        <v>9.6</v>
      </c>
      <c r="Z22" s="45">
        <v>9.6</v>
      </c>
      <c r="AA22" s="45">
        <v>9.6</v>
      </c>
      <c r="AB22" s="45">
        <v>9.6</v>
      </c>
      <c r="AC22" s="45">
        <v>9.6</v>
      </c>
      <c r="AD22" s="45">
        <v>9.6</v>
      </c>
      <c r="AE22" s="45">
        <v>9.6</v>
      </c>
      <c r="AF22" s="45">
        <v>9.6</v>
      </c>
      <c r="AG22" s="50">
        <v>25</v>
      </c>
      <c r="AH22" s="47">
        <f t="shared" si="2"/>
        <v>9.6</v>
      </c>
      <c r="AI22" s="48">
        <f t="shared" si="3"/>
        <v>9.6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10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6.6</v>
      </c>
      <c r="C26" s="45">
        <v>6.6</v>
      </c>
      <c r="D26" s="45">
        <v>6.6</v>
      </c>
      <c r="E26" s="45">
        <v>6.6</v>
      </c>
      <c r="F26" s="45">
        <v>6.6</v>
      </c>
      <c r="G26" s="45">
        <v>6.6</v>
      </c>
      <c r="H26" s="45">
        <v>6.6</v>
      </c>
      <c r="I26" s="45">
        <v>6.6</v>
      </c>
      <c r="J26" s="45">
        <v>6.6</v>
      </c>
      <c r="K26" s="45">
        <v>6.6</v>
      </c>
      <c r="L26" s="45">
        <v>6.6</v>
      </c>
      <c r="M26" s="45">
        <v>6.6</v>
      </c>
      <c r="N26" s="45">
        <v>6.6</v>
      </c>
      <c r="O26" s="45">
        <v>6.6</v>
      </c>
      <c r="P26" s="45">
        <v>6.6</v>
      </c>
      <c r="Q26" s="45">
        <v>6.6</v>
      </c>
      <c r="R26" s="45">
        <v>6.6</v>
      </c>
      <c r="S26" s="45">
        <v>6.6</v>
      </c>
      <c r="T26" s="45">
        <v>6.6</v>
      </c>
      <c r="U26" s="45">
        <v>6.6</v>
      </c>
      <c r="V26" s="45">
        <v>6.6</v>
      </c>
      <c r="W26" s="45">
        <v>6.6</v>
      </c>
      <c r="X26" s="45">
        <v>6.6</v>
      </c>
      <c r="Y26" s="45">
        <v>6.6</v>
      </c>
      <c r="Z26" s="45">
        <v>6.6</v>
      </c>
      <c r="AA26" s="45">
        <v>6.6</v>
      </c>
      <c r="AB26" s="45">
        <v>6.6</v>
      </c>
      <c r="AC26" s="45">
        <v>6.6</v>
      </c>
      <c r="AD26" s="45">
        <v>6.6</v>
      </c>
      <c r="AE26" s="45">
        <v>6.6</v>
      </c>
      <c r="AF26" s="45">
        <v>6.6</v>
      </c>
      <c r="AG26" s="50">
        <v>23.5</v>
      </c>
      <c r="AH26" s="47">
        <f t="shared" si="2"/>
        <v>6.6</v>
      </c>
      <c r="AI26" s="48">
        <f t="shared" si="3"/>
        <v>6.6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11.1</v>
      </c>
      <c r="C30" s="45">
        <v>11.1</v>
      </c>
      <c r="D30" s="45">
        <v>11.1</v>
      </c>
      <c r="E30" s="45">
        <v>11.1</v>
      </c>
      <c r="F30" s="45">
        <v>11.1</v>
      </c>
      <c r="G30" s="45">
        <v>11.1</v>
      </c>
      <c r="H30" s="45">
        <v>11.1</v>
      </c>
      <c r="I30" s="45">
        <v>11.1</v>
      </c>
      <c r="J30" s="45">
        <v>11.1</v>
      </c>
      <c r="K30" s="45">
        <v>11.1</v>
      </c>
      <c r="L30" s="45">
        <v>11.1</v>
      </c>
      <c r="M30" s="45">
        <v>11.1</v>
      </c>
      <c r="N30" s="45">
        <v>11.1</v>
      </c>
      <c r="O30" s="45">
        <v>11.1</v>
      </c>
      <c r="P30" s="45">
        <v>11.1</v>
      </c>
      <c r="Q30" s="45">
        <v>11.1</v>
      </c>
      <c r="R30" s="45">
        <v>11.1</v>
      </c>
      <c r="S30" s="45">
        <v>11.1</v>
      </c>
      <c r="T30" s="45">
        <v>11.1</v>
      </c>
      <c r="U30" s="45">
        <v>11.1</v>
      </c>
      <c r="V30" s="45">
        <v>11.1</v>
      </c>
      <c r="W30" s="45">
        <v>11.1</v>
      </c>
      <c r="X30" s="45">
        <v>11.1</v>
      </c>
      <c r="Y30" s="45">
        <v>11.1</v>
      </c>
      <c r="Z30" s="45">
        <v>11.1</v>
      </c>
      <c r="AA30" s="45">
        <v>11.1</v>
      </c>
      <c r="AB30" s="45">
        <v>11.1</v>
      </c>
      <c r="AC30" s="45">
        <v>11.1</v>
      </c>
      <c r="AD30" s="45">
        <v>11.1</v>
      </c>
      <c r="AE30" s="45">
        <v>11.1</v>
      </c>
      <c r="AF30" s="45">
        <v>11.1</v>
      </c>
      <c r="AG30" s="50">
        <v>22</v>
      </c>
      <c r="AH30" s="47">
        <f t="shared" si="2"/>
        <v>11.1</v>
      </c>
      <c r="AI30" s="48">
        <f t="shared" si="3"/>
        <v>11.1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8.5</v>
      </c>
      <c r="AA42" s="45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2"/>
        <v>8.5</v>
      </c>
      <c r="AI42" s="48">
        <f t="shared" si="3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1</v>
      </c>
      <c r="O45" s="45">
        <v>1</v>
      </c>
      <c r="P45" s="45">
        <v>1</v>
      </c>
      <c r="Q45" s="45">
        <v>1</v>
      </c>
      <c r="R45" s="45">
        <v>1</v>
      </c>
      <c r="S45" s="45">
        <v>1</v>
      </c>
      <c r="T45" s="45">
        <v>1</v>
      </c>
      <c r="U45" s="45">
        <v>1</v>
      </c>
      <c r="V45" s="45">
        <v>1</v>
      </c>
      <c r="W45" s="45">
        <v>1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1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375.8</v>
      </c>
      <c r="C48" s="60">
        <f t="shared" si="4"/>
        <v>375.8</v>
      </c>
      <c r="D48" s="60">
        <f t="shared" si="4"/>
        <v>375.8</v>
      </c>
      <c r="E48" s="60">
        <f t="shared" si="4"/>
        <v>375.8</v>
      </c>
      <c r="F48" s="60">
        <f t="shared" si="4"/>
        <v>375.8</v>
      </c>
      <c r="G48" s="60">
        <f t="shared" si="4"/>
        <v>375.8</v>
      </c>
      <c r="H48" s="60">
        <f t="shared" si="4"/>
        <v>375.8</v>
      </c>
      <c r="I48" s="60">
        <f t="shared" si="4"/>
        <v>375.8</v>
      </c>
      <c r="J48" s="60">
        <f t="shared" si="4"/>
        <v>375.8</v>
      </c>
      <c r="K48" s="60">
        <f t="shared" si="4"/>
        <v>375.8</v>
      </c>
      <c r="L48" s="60">
        <f t="shared" si="4"/>
        <v>375.8</v>
      </c>
      <c r="M48" s="60">
        <f t="shared" si="4"/>
        <v>375.8</v>
      </c>
      <c r="N48" s="60">
        <f t="shared" si="4"/>
        <v>376.8</v>
      </c>
      <c r="O48" s="60">
        <f t="shared" si="4"/>
        <v>376.8</v>
      </c>
      <c r="P48" s="60">
        <f t="shared" si="4"/>
        <v>376.8</v>
      </c>
      <c r="Q48" s="60">
        <f t="shared" si="4"/>
        <v>376.8</v>
      </c>
      <c r="R48" s="60">
        <f t="shared" si="4"/>
        <v>376.8</v>
      </c>
      <c r="S48" s="60">
        <f t="shared" si="4"/>
        <v>373.3</v>
      </c>
      <c r="T48" s="60">
        <f t="shared" si="4"/>
        <v>373.3</v>
      </c>
      <c r="U48" s="60">
        <f t="shared" si="4"/>
        <v>373.3</v>
      </c>
      <c r="V48" s="60">
        <f t="shared" si="4"/>
        <v>373.3</v>
      </c>
      <c r="W48" s="60">
        <f t="shared" si="4"/>
        <v>373.3</v>
      </c>
      <c r="X48" s="60">
        <f t="shared" si="4"/>
        <v>372.3</v>
      </c>
      <c r="Y48" s="60">
        <f t="shared" si="4"/>
        <v>372.3</v>
      </c>
      <c r="Z48" s="60">
        <f t="shared" si="4"/>
        <v>372.3</v>
      </c>
      <c r="AA48" s="60">
        <f t="shared" si="4"/>
        <v>372.3</v>
      </c>
      <c r="AB48" s="60">
        <f t="shared" si="4"/>
        <v>372.3</v>
      </c>
      <c r="AC48" s="60">
        <f t="shared" si="4"/>
        <v>372.3</v>
      </c>
      <c r="AD48" s="60">
        <f t="shared" si="4"/>
        <v>372.3</v>
      </c>
      <c r="AE48" s="60">
        <f t="shared" si="4"/>
        <v>372.3</v>
      </c>
      <c r="AF48" s="60">
        <f t="shared" si="4"/>
        <v>372.3</v>
      </c>
      <c r="AG48" s="61">
        <f t="shared" si="4"/>
        <v>875.68</v>
      </c>
      <c r="AH48" s="47">
        <f t="shared" si="2"/>
        <v>376.8</v>
      </c>
      <c r="AI48" s="48">
        <f t="shared" si="3"/>
        <v>372.3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170</v>
      </c>
      <c r="J49" s="45">
        <v>304</v>
      </c>
      <c r="K49" s="45">
        <v>380</v>
      </c>
      <c r="L49" s="45">
        <v>390</v>
      </c>
      <c r="M49" s="63">
        <v>400</v>
      </c>
      <c r="N49" s="63">
        <v>120</v>
      </c>
      <c r="O49" s="45">
        <v>30</v>
      </c>
      <c r="P49" s="45">
        <v>15</v>
      </c>
      <c r="Q49" s="45">
        <v>15</v>
      </c>
      <c r="R49" s="45">
        <v>15</v>
      </c>
      <c r="S49" s="45">
        <v>15</v>
      </c>
      <c r="T49" s="45">
        <v>15</v>
      </c>
      <c r="U49" s="45">
        <v>15</v>
      </c>
      <c r="V49" s="45">
        <v>76</v>
      </c>
      <c r="W49" s="45">
        <v>30</v>
      </c>
      <c r="X49" s="45">
        <v>130</v>
      </c>
      <c r="Y49" s="45">
        <v>205</v>
      </c>
      <c r="Z49" s="45">
        <v>260</v>
      </c>
      <c r="AA49" s="45">
        <v>260</v>
      </c>
      <c r="AB49" s="45">
        <v>185</v>
      </c>
      <c r="AC49" s="45">
        <v>70</v>
      </c>
      <c r="AD49" s="45">
        <v>15</v>
      </c>
      <c r="AE49" s="45">
        <v>15</v>
      </c>
      <c r="AF49" s="45">
        <v>0</v>
      </c>
      <c r="AG49" s="51">
        <v>456</v>
      </c>
      <c r="AH49" s="47">
        <f t="shared" si="2"/>
        <v>400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25</v>
      </c>
      <c r="AK50" s="49"/>
    </row>
    <row r="51" spans="1:41" ht="15.75" thickBot="1" x14ac:dyDescent="0.3">
      <c r="A51" s="66" t="s">
        <v>55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11.2</v>
      </c>
      <c r="P51" s="67">
        <v>11.2</v>
      </c>
      <c r="Q51" s="67">
        <v>11.2</v>
      </c>
      <c r="R51" s="67">
        <v>11.2</v>
      </c>
      <c r="S51" s="67">
        <v>11.2</v>
      </c>
      <c r="T51" s="67">
        <v>11.2</v>
      </c>
      <c r="U51" s="67">
        <v>11.2</v>
      </c>
      <c r="V51" s="67">
        <v>11.2</v>
      </c>
      <c r="W51" s="67">
        <v>11.2</v>
      </c>
      <c r="X51" s="67">
        <v>11.2</v>
      </c>
      <c r="Y51" s="67">
        <v>11.2</v>
      </c>
      <c r="Z51" s="67">
        <v>11.2</v>
      </c>
      <c r="AA51" s="67">
        <v>11.2</v>
      </c>
      <c r="AB51" s="67">
        <v>11.2</v>
      </c>
      <c r="AC51" s="67">
        <v>11.2</v>
      </c>
      <c r="AD51" s="67">
        <v>11.2</v>
      </c>
      <c r="AE51" s="67">
        <v>11.2</v>
      </c>
      <c r="AF51" s="67">
        <v>11.2</v>
      </c>
      <c r="AG51" s="68">
        <v>22.1</v>
      </c>
      <c r="AH51" s="47">
        <f t="shared" si="2"/>
        <v>11.2</v>
      </c>
      <c r="AI51" s="48">
        <f t="shared" si="3"/>
        <v>0</v>
      </c>
      <c r="AK51" s="49"/>
    </row>
    <row r="52" spans="1:41" ht="15.75" thickBot="1" x14ac:dyDescent="0.3">
      <c r="A52" s="69" t="s">
        <v>56</v>
      </c>
      <c r="B52" s="60">
        <f t="shared" ref="B52:AG52" si="5">SUM(B49:B51)</f>
        <v>25</v>
      </c>
      <c r="C52" s="60">
        <f t="shared" si="5"/>
        <v>25</v>
      </c>
      <c r="D52" s="60">
        <f t="shared" si="5"/>
        <v>25</v>
      </c>
      <c r="E52" s="60">
        <f t="shared" si="5"/>
        <v>25</v>
      </c>
      <c r="F52" s="60">
        <f t="shared" si="5"/>
        <v>25</v>
      </c>
      <c r="G52" s="60">
        <f t="shared" si="5"/>
        <v>25</v>
      </c>
      <c r="H52" s="60">
        <f t="shared" si="5"/>
        <v>55</v>
      </c>
      <c r="I52" s="60">
        <f t="shared" si="5"/>
        <v>195</v>
      </c>
      <c r="J52" s="60">
        <f t="shared" si="5"/>
        <v>329</v>
      </c>
      <c r="K52" s="60">
        <f t="shared" si="5"/>
        <v>405</v>
      </c>
      <c r="L52" s="60">
        <f t="shared" si="5"/>
        <v>415</v>
      </c>
      <c r="M52" s="60">
        <f t="shared" si="5"/>
        <v>425</v>
      </c>
      <c r="N52" s="60">
        <f t="shared" si="5"/>
        <v>145</v>
      </c>
      <c r="O52" s="60">
        <f t="shared" si="5"/>
        <v>66.2</v>
      </c>
      <c r="P52" s="60">
        <f t="shared" si="5"/>
        <v>53.2</v>
      </c>
      <c r="Q52" s="60">
        <f t="shared" si="5"/>
        <v>53.2</v>
      </c>
      <c r="R52" s="60">
        <f t="shared" si="5"/>
        <v>53.2</v>
      </c>
      <c r="S52" s="60">
        <f t="shared" si="5"/>
        <v>53.2</v>
      </c>
      <c r="T52" s="60">
        <f t="shared" si="5"/>
        <v>53.2</v>
      </c>
      <c r="U52" s="60">
        <f t="shared" si="5"/>
        <v>53.2</v>
      </c>
      <c r="V52" s="60">
        <f t="shared" si="5"/>
        <v>114.2</v>
      </c>
      <c r="W52" s="60">
        <f t="shared" si="5"/>
        <v>68.2</v>
      </c>
      <c r="X52" s="60">
        <f t="shared" si="5"/>
        <v>168.2</v>
      </c>
      <c r="Y52" s="60">
        <f t="shared" si="5"/>
        <v>243.2</v>
      </c>
      <c r="Z52" s="60">
        <f t="shared" si="5"/>
        <v>298.2</v>
      </c>
      <c r="AA52" s="60">
        <f t="shared" si="5"/>
        <v>298.2</v>
      </c>
      <c r="AB52" s="60">
        <f t="shared" si="5"/>
        <v>223.2</v>
      </c>
      <c r="AC52" s="60">
        <f t="shared" si="5"/>
        <v>108.2</v>
      </c>
      <c r="AD52" s="60">
        <f t="shared" si="5"/>
        <v>53.2</v>
      </c>
      <c r="AE52" s="60">
        <f t="shared" si="5"/>
        <v>53.2</v>
      </c>
      <c r="AF52" s="60">
        <f t="shared" si="5"/>
        <v>38.200000000000003</v>
      </c>
      <c r="AG52" s="61">
        <f t="shared" si="5"/>
        <v>538.1</v>
      </c>
      <c r="AH52" s="47">
        <f t="shared" si="2"/>
        <v>425</v>
      </c>
      <c r="AI52" s="48">
        <f t="shared" si="3"/>
        <v>25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30</v>
      </c>
      <c r="I53" s="45">
        <v>49</v>
      </c>
      <c r="J53" s="45">
        <v>94</v>
      </c>
      <c r="K53" s="45">
        <v>122</v>
      </c>
      <c r="L53" s="45">
        <v>141</v>
      </c>
      <c r="M53" s="45">
        <v>140.69999999999999</v>
      </c>
      <c r="N53" s="45">
        <v>121.3</v>
      </c>
      <c r="O53" s="45">
        <v>63.4</v>
      </c>
      <c r="P53" s="45">
        <v>70</v>
      </c>
      <c r="Q53" s="45">
        <v>61.3</v>
      </c>
      <c r="R53" s="45">
        <v>61.3</v>
      </c>
      <c r="S53" s="45">
        <v>61.3</v>
      </c>
      <c r="T53" s="45">
        <v>61.3</v>
      </c>
      <c r="U53" s="45">
        <v>75</v>
      </c>
      <c r="V53" s="45">
        <v>90</v>
      </c>
      <c r="W53" s="45">
        <v>97</v>
      </c>
      <c r="X53" s="45">
        <v>97</v>
      </c>
      <c r="Y53" s="45">
        <v>140</v>
      </c>
      <c r="Z53" s="45">
        <v>130.69999999999999</v>
      </c>
      <c r="AA53" s="45">
        <v>115</v>
      </c>
      <c r="AB53" s="45">
        <v>80</v>
      </c>
      <c r="AC53" s="45">
        <v>60</v>
      </c>
      <c r="AD53" s="45">
        <v>61</v>
      </c>
      <c r="AE53" s="45">
        <v>30</v>
      </c>
      <c r="AF53" s="45">
        <v>0</v>
      </c>
      <c r="AG53" s="51">
        <v>144</v>
      </c>
      <c r="AH53" s="47">
        <f t="shared" si="2"/>
        <v>141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35</v>
      </c>
      <c r="H54" s="65">
        <v>21.4</v>
      </c>
      <c r="I54" s="65">
        <v>35</v>
      </c>
      <c r="J54" s="65">
        <v>70</v>
      </c>
      <c r="K54" s="65">
        <v>70</v>
      </c>
      <c r="L54" s="65">
        <v>70</v>
      </c>
      <c r="M54" s="65">
        <v>66.599999999999994</v>
      </c>
      <c r="N54" s="65">
        <v>67.2</v>
      </c>
      <c r="O54" s="65">
        <v>45.5</v>
      </c>
      <c r="P54" s="65">
        <v>35</v>
      </c>
      <c r="Q54" s="65">
        <v>24.2</v>
      </c>
      <c r="R54" s="65">
        <v>24.2</v>
      </c>
      <c r="S54" s="65">
        <v>70</v>
      </c>
      <c r="T54" s="65">
        <v>65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70</v>
      </c>
      <c r="AI54" s="48">
        <f t="shared" si="3"/>
        <v>0</v>
      </c>
      <c r="AK54" s="49"/>
    </row>
    <row r="55" spans="1:41" x14ac:dyDescent="0.25">
      <c r="A55" s="53" t="s">
        <v>260</v>
      </c>
      <c r="B55" s="65">
        <v>0</v>
      </c>
      <c r="C55" s="65">
        <v>0</v>
      </c>
      <c r="D55" s="65">
        <v>0</v>
      </c>
      <c r="E55" s="65">
        <v>19.100000000000001</v>
      </c>
      <c r="F55" s="65">
        <v>19.100000000000001</v>
      </c>
      <c r="G55" s="65">
        <v>19.100000000000001</v>
      </c>
      <c r="H55" s="65">
        <v>16</v>
      </c>
      <c r="I55" s="65">
        <v>45</v>
      </c>
      <c r="J55" s="65">
        <v>45</v>
      </c>
      <c r="K55" s="65">
        <v>45</v>
      </c>
      <c r="L55" s="65">
        <v>69</v>
      </c>
      <c r="M55" s="65">
        <v>61.4</v>
      </c>
      <c r="N55" s="65">
        <v>60.8</v>
      </c>
      <c r="O55" s="65">
        <v>33</v>
      </c>
      <c r="P55" s="65">
        <v>45.3</v>
      </c>
      <c r="Q55" s="65">
        <v>45.7</v>
      </c>
      <c r="R55" s="65">
        <v>45.7</v>
      </c>
      <c r="S55" s="65">
        <v>15.6</v>
      </c>
      <c r="T55" s="65">
        <v>15.6</v>
      </c>
      <c r="U55" s="45">
        <v>46.1</v>
      </c>
      <c r="V55" s="45">
        <v>46.1</v>
      </c>
      <c r="W55" s="45">
        <v>32</v>
      </c>
      <c r="X55" s="45">
        <v>68</v>
      </c>
      <c r="Y55" s="45">
        <v>69.099999999999994</v>
      </c>
      <c r="Z55" s="45">
        <v>69</v>
      </c>
      <c r="AA55" s="45">
        <v>69</v>
      </c>
      <c r="AB55" s="45">
        <v>69</v>
      </c>
      <c r="AC55" s="65">
        <v>67</v>
      </c>
      <c r="AD55" s="65">
        <v>53</v>
      </c>
      <c r="AE55" s="65">
        <v>50</v>
      </c>
      <c r="AF55" s="65">
        <v>50</v>
      </c>
      <c r="AG55" s="54">
        <v>69</v>
      </c>
      <c r="AH55" s="47">
        <f t="shared" si="2"/>
        <v>69.099999999999994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35</v>
      </c>
      <c r="C56" s="65">
        <v>35</v>
      </c>
      <c r="D56" s="65">
        <v>35</v>
      </c>
      <c r="E56" s="65">
        <v>35</v>
      </c>
      <c r="F56" s="65">
        <v>35</v>
      </c>
      <c r="G56" s="65">
        <v>35</v>
      </c>
      <c r="H56" s="65">
        <v>35</v>
      </c>
      <c r="I56" s="65">
        <v>42</v>
      </c>
      <c r="J56" s="65">
        <v>42</v>
      </c>
      <c r="K56" s="65">
        <v>42</v>
      </c>
      <c r="L56" s="65">
        <v>41</v>
      </c>
      <c r="M56" s="65">
        <v>41</v>
      </c>
      <c r="N56" s="65">
        <v>41</v>
      </c>
      <c r="O56" s="65">
        <v>40.299999999999997</v>
      </c>
      <c r="P56" s="65">
        <v>40.299999999999997</v>
      </c>
      <c r="Q56" s="65">
        <v>40.299999999999997</v>
      </c>
      <c r="R56" s="65">
        <v>40.299999999999997</v>
      </c>
      <c r="S56" s="65">
        <v>40.299999999999997</v>
      </c>
      <c r="T56" s="65">
        <v>40.299999999999997</v>
      </c>
      <c r="U56" s="45">
        <v>40.6</v>
      </c>
      <c r="V56" s="45">
        <v>37.299999999999997</v>
      </c>
      <c r="W56" s="45">
        <v>38</v>
      </c>
      <c r="X56" s="45">
        <v>38</v>
      </c>
      <c r="Y56" s="65">
        <v>40.6</v>
      </c>
      <c r="Z56" s="65">
        <v>40.6</v>
      </c>
      <c r="AA56" s="65">
        <v>40.6</v>
      </c>
      <c r="AB56" s="65">
        <v>40.6</v>
      </c>
      <c r="AC56" s="65">
        <v>40.6</v>
      </c>
      <c r="AD56" s="65">
        <v>40.6</v>
      </c>
      <c r="AE56" s="65">
        <v>40.6</v>
      </c>
      <c r="AF56" s="65">
        <v>40.6</v>
      </c>
      <c r="AG56" s="54">
        <v>60</v>
      </c>
      <c r="AH56" s="47">
        <f t="shared" si="2"/>
        <v>42</v>
      </c>
      <c r="AI56" s="48">
        <f t="shared" si="3"/>
        <v>35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13</v>
      </c>
      <c r="H57" s="65">
        <v>15</v>
      </c>
      <c r="I57" s="65">
        <v>15</v>
      </c>
      <c r="J57" s="65">
        <v>15</v>
      </c>
      <c r="K57" s="65">
        <v>30</v>
      </c>
      <c r="L57" s="65">
        <v>30</v>
      </c>
      <c r="M57" s="65">
        <v>30</v>
      </c>
      <c r="N57" s="65">
        <v>30</v>
      </c>
      <c r="O57" s="65">
        <v>13.2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45">
        <v>13</v>
      </c>
      <c r="V57" s="45">
        <v>15</v>
      </c>
      <c r="W57" s="45">
        <v>15</v>
      </c>
      <c r="X57" s="45">
        <v>26</v>
      </c>
      <c r="Y57" s="65">
        <v>26</v>
      </c>
      <c r="Z57" s="65">
        <v>26</v>
      </c>
      <c r="AA57" s="65">
        <v>13</v>
      </c>
      <c r="AB57" s="65">
        <v>13</v>
      </c>
      <c r="AC57" s="65">
        <v>13</v>
      </c>
      <c r="AD57" s="65">
        <v>0</v>
      </c>
      <c r="AE57" s="65">
        <v>0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4</v>
      </c>
      <c r="N58" s="65">
        <v>6</v>
      </c>
      <c r="O58" s="65">
        <v>8</v>
      </c>
      <c r="P58" s="65">
        <v>10</v>
      </c>
      <c r="Q58" s="65">
        <v>10</v>
      </c>
      <c r="R58" s="65">
        <v>10</v>
      </c>
      <c r="S58" s="65">
        <v>10</v>
      </c>
      <c r="T58" s="65">
        <v>10</v>
      </c>
      <c r="U58" s="65">
        <v>5</v>
      </c>
      <c r="V58" s="65">
        <v>5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14</v>
      </c>
      <c r="C59" s="65">
        <v>14</v>
      </c>
      <c r="D59" s="65">
        <v>14</v>
      </c>
      <c r="E59" s="65">
        <v>14</v>
      </c>
      <c r="F59" s="65">
        <v>14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7.9</v>
      </c>
      <c r="Q59" s="65">
        <v>7.9</v>
      </c>
      <c r="R59" s="65">
        <v>7.9</v>
      </c>
      <c r="S59" s="65">
        <v>7.9</v>
      </c>
      <c r="T59" s="65">
        <v>7.9</v>
      </c>
      <c r="U59" s="65">
        <v>7.9</v>
      </c>
      <c r="V59" s="65">
        <v>7.9</v>
      </c>
      <c r="W59" s="65">
        <v>7.9</v>
      </c>
      <c r="X59" s="65">
        <v>7.9</v>
      </c>
      <c r="Y59" s="65">
        <v>7.9</v>
      </c>
      <c r="Z59" s="65">
        <v>7.9</v>
      </c>
      <c r="AA59" s="65">
        <v>7.9</v>
      </c>
      <c r="AB59" s="65">
        <v>7.9</v>
      </c>
      <c r="AC59" s="65">
        <v>7.9</v>
      </c>
      <c r="AD59" s="65">
        <v>7.9</v>
      </c>
      <c r="AE59" s="65">
        <v>7.9</v>
      </c>
      <c r="AF59" s="65">
        <v>7.9</v>
      </c>
      <c r="AG59" s="54">
        <v>24</v>
      </c>
      <c r="AH59" s="47">
        <f t="shared" si="2"/>
        <v>14</v>
      </c>
      <c r="AI59" s="48">
        <f t="shared" si="3"/>
        <v>7.9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</v>
      </c>
      <c r="C61" s="65">
        <v>10</v>
      </c>
      <c r="D61" s="65">
        <v>10</v>
      </c>
      <c r="E61" s="65">
        <v>10</v>
      </c>
      <c r="F61" s="65">
        <v>10</v>
      </c>
      <c r="G61" s="65">
        <v>10</v>
      </c>
      <c r="H61" s="65">
        <v>10</v>
      </c>
      <c r="I61" s="65">
        <v>10</v>
      </c>
      <c r="J61" s="65">
        <v>10</v>
      </c>
      <c r="K61" s="65">
        <v>10</v>
      </c>
      <c r="L61" s="65">
        <v>10</v>
      </c>
      <c r="M61" s="65">
        <v>10</v>
      </c>
      <c r="N61" s="65">
        <v>10</v>
      </c>
      <c r="O61" s="65">
        <v>10</v>
      </c>
      <c r="P61" s="65">
        <v>6.5</v>
      </c>
      <c r="Q61" s="65">
        <v>6.5</v>
      </c>
      <c r="R61" s="65">
        <v>6.5</v>
      </c>
      <c r="S61" s="65">
        <v>6.5</v>
      </c>
      <c r="T61" s="65">
        <v>6.5</v>
      </c>
      <c r="U61" s="65">
        <v>6.5</v>
      </c>
      <c r="V61" s="65">
        <v>6.5</v>
      </c>
      <c r="W61" s="65">
        <v>6.5</v>
      </c>
      <c r="X61" s="65">
        <v>6.5</v>
      </c>
      <c r="Y61" s="65">
        <v>6.5</v>
      </c>
      <c r="Z61" s="65">
        <v>6.5</v>
      </c>
      <c r="AA61" s="65">
        <v>6.5</v>
      </c>
      <c r="AB61" s="65">
        <v>6.5</v>
      </c>
      <c r="AC61" s="65">
        <v>6.5</v>
      </c>
      <c r="AD61" s="65">
        <v>6.5</v>
      </c>
      <c r="AE61" s="65">
        <v>6.5</v>
      </c>
      <c r="AF61" s="65">
        <v>6.5</v>
      </c>
      <c r="AG61" s="54">
        <v>14.1</v>
      </c>
      <c r="AH61" s="47">
        <f t="shared" si="2"/>
        <v>10</v>
      </c>
      <c r="AI61" s="48">
        <f t="shared" si="3"/>
        <v>6.5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3.2</v>
      </c>
      <c r="C62" s="65">
        <v>3.2</v>
      </c>
      <c r="D62" s="65">
        <v>3.2</v>
      </c>
      <c r="E62" s="65">
        <v>3.2</v>
      </c>
      <c r="F62" s="65">
        <v>3.2</v>
      </c>
      <c r="G62" s="65">
        <v>4.7</v>
      </c>
      <c r="H62" s="65">
        <v>4.7</v>
      </c>
      <c r="I62" s="65">
        <v>4.7</v>
      </c>
      <c r="J62" s="65">
        <v>4.7</v>
      </c>
      <c r="K62" s="65">
        <v>4.7</v>
      </c>
      <c r="L62" s="65">
        <v>4.7</v>
      </c>
      <c r="M62" s="65">
        <v>4.7</v>
      </c>
      <c r="N62" s="65">
        <v>4.7</v>
      </c>
      <c r="O62" s="65">
        <v>4.7</v>
      </c>
      <c r="P62" s="65">
        <v>3</v>
      </c>
      <c r="Q62" s="65">
        <v>3</v>
      </c>
      <c r="R62" s="65">
        <v>3</v>
      </c>
      <c r="S62" s="65">
        <v>3</v>
      </c>
      <c r="T62" s="65">
        <v>3</v>
      </c>
      <c r="U62" s="65">
        <v>3</v>
      </c>
      <c r="V62" s="65">
        <v>3</v>
      </c>
      <c r="W62" s="65">
        <v>3</v>
      </c>
      <c r="X62" s="65">
        <v>3</v>
      </c>
      <c r="Y62" s="65">
        <v>3</v>
      </c>
      <c r="Z62" s="65">
        <v>3</v>
      </c>
      <c r="AA62" s="65">
        <v>3</v>
      </c>
      <c r="AB62" s="65">
        <v>3</v>
      </c>
      <c r="AC62" s="65">
        <v>3</v>
      </c>
      <c r="AD62" s="65">
        <v>3</v>
      </c>
      <c r="AE62" s="65">
        <v>3</v>
      </c>
      <c r="AF62" s="65">
        <v>3</v>
      </c>
      <c r="AG62" s="54">
        <v>14</v>
      </c>
      <c r="AH62" s="47">
        <f t="shared" si="2"/>
        <v>4.7</v>
      </c>
      <c r="AI62" s="48">
        <f t="shared" si="3"/>
        <v>3</v>
      </c>
      <c r="AK62" s="49"/>
    </row>
    <row r="63" spans="1:41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4.3</v>
      </c>
      <c r="Q63" s="65">
        <v>4.3</v>
      </c>
      <c r="R63" s="65">
        <v>4.3</v>
      </c>
      <c r="S63" s="65">
        <v>4.3</v>
      </c>
      <c r="T63" s="65">
        <v>4.3</v>
      </c>
      <c r="U63" s="65">
        <v>4.3</v>
      </c>
      <c r="V63" s="65">
        <v>4.3</v>
      </c>
      <c r="W63" s="65">
        <v>4.3</v>
      </c>
      <c r="X63" s="65">
        <v>4.3</v>
      </c>
      <c r="Y63" s="65">
        <v>4.3</v>
      </c>
      <c r="Z63" s="65">
        <v>4.3</v>
      </c>
      <c r="AA63" s="65">
        <v>4.3</v>
      </c>
      <c r="AB63" s="65">
        <v>4.3</v>
      </c>
      <c r="AC63" s="65">
        <v>4.3</v>
      </c>
      <c r="AD63" s="65">
        <v>4.3</v>
      </c>
      <c r="AE63" s="65">
        <v>4.3</v>
      </c>
      <c r="AF63" s="65">
        <v>4.3</v>
      </c>
      <c r="AG63" s="54">
        <v>10.050000000000001</v>
      </c>
      <c r="AH63" s="47">
        <f t="shared" si="2"/>
        <v>4.5</v>
      </c>
      <c r="AI63" s="48">
        <f t="shared" si="3"/>
        <v>4.3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6">SUM(B53:B65)</f>
        <v>74.940000000000012</v>
      </c>
      <c r="C66" s="60">
        <f t="shared" si="6"/>
        <v>74.940000000000012</v>
      </c>
      <c r="D66" s="60">
        <f t="shared" si="6"/>
        <v>74.940000000000012</v>
      </c>
      <c r="E66" s="60">
        <f t="shared" si="6"/>
        <v>94.04</v>
      </c>
      <c r="F66" s="60">
        <f t="shared" si="6"/>
        <v>94.04</v>
      </c>
      <c r="G66" s="60">
        <f t="shared" si="6"/>
        <v>143.54</v>
      </c>
      <c r="H66" s="60">
        <f t="shared" si="6"/>
        <v>158.83999999999997</v>
      </c>
      <c r="I66" s="60">
        <f t="shared" si="6"/>
        <v>227.43999999999997</v>
      </c>
      <c r="J66" s="60">
        <f t="shared" si="6"/>
        <v>307.44</v>
      </c>
      <c r="K66" s="60">
        <f t="shared" si="6"/>
        <v>350.44</v>
      </c>
      <c r="L66" s="60">
        <f t="shared" si="6"/>
        <v>392.44</v>
      </c>
      <c r="M66" s="60">
        <f t="shared" si="6"/>
        <v>385.14</v>
      </c>
      <c r="N66" s="60">
        <f t="shared" si="6"/>
        <v>367.74</v>
      </c>
      <c r="O66" s="60">
        <f t="shared" si="6"/>
        <v>244.83999999999995</v>
      </c>
      <c r="P66" s="60">
        <f t="shared" si="6"/>
        <v>230.54000000000002</v>
      </c>
      <c r="Q66" s="60">
        <f t="shared" si="6"/>
        <v>211.44</v>
      </c>
      <c r="R66" s="60">
        <f t="shared" si="6"/>
        <v>211.44</v>
      </c>
      <c r="S66" s="60">
        <f t="shared" si="6"/>
        <v>227.14</v>
      </c>
      <c r="T66" s="60">
        <f t="shared" si="6"/>
        <v>222.14</v>
      </c>
      <c r="U66" s="60">
        <f t="shared" si="6"/>
        <v>209.64</v>
      </c>
      <c r="V66" s="60">
        <f t="shared" si="6"/>
        <v>223.33999999999997</v>
      </c>
      <c r="W66" s="60">
        <f t="shared" si="6"/>
        <v>211.94</v>
      </c>
      <c r="X66" s="60">
        <f t="shared" si="6"/>
        <v>258.94</v>
      </c>
      <c r="Y66" s="60">
        <f t="shared" si="6"/>
        <v>305.64</v>
      </c>
      <c r="Z66" s="60">
        <f t="shared" si="6"/>
        <v>296.23999999999995</v>
      </c>
      <c r="AA66" s="60">
        <f t="shared" si="6"/>
        <v>267.54000000000002</v>
      </c>
      <c r="AB66" s="60">
        <f t="shared" si="6"/>
        <v>232.54</v>
      </c>
      <c r="AC66" s="60">
        <f t="shared" si="6"/>
        <v>210.54</v>
      </c>
      <c r="AD66" s="60">
        <f t="shared" si="6"/>
        <v>184.54</v>
      </c>
      <c r="AE66" s="60">
        <f t="shared" si="6"/>
        <v>150.54</v>
      </c>
      <c r="AF66" s="60">
        <f t="shared" si="6"/>
        <v>120.54</v>
      </c>
      <c r="AG66" s="61">
        <f t="shared" si="6"/>
        <v>489.91</v>
      </c>
      <c r="AH66" s="47">
        <f t="shared" si="2"/>
        <v>392.44</v>
      </c>
      <c r="AI66" s="48">
        <f t="shared" si="3"/>
        <v>74.940000000000012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30</v>
      </c>
      <c r="N67" s="45">
        <v>30</v>
      </c>
      <c r="O67" s="45">
        <v>30</v>
      </c>
      <c r="P67" s="45">
        <v>30</v>
      </c>
      <c r="Q67" s="45">
        <v>50</v>
      </c>
      <c r="R67" s="45">
        <v>10</v>
      </c>
      <c r="S67" s="45">
        <v>0</v>
      </c>
      <c r="T67" s="45">
        <v>28</v>
      </c>
      <c r="U67" s="45">
        <v>60</v>
      </c>
      <c r="V67" s="45">
        <v>40</v>
      </c>
      <c r="W67" s="45">
        <v>30</v>
      </c>
      <c r="X67" s="45">
        <v>40</v>
      </c>
      <c r="Y67" s="45">
        <v>50</v>
      </c>
      <c r="Z67" s="45">
        <v>55</v>
      </c>
      <c r="AA67" s="45">
        <v>55</v>
      </c>
      <c r="AB67" s="45">
        <v>34</v>
      </c>
      <c r="AC67" s="45">
        <v>35</v>
      </c>
      <c r="AD67" s="45">
        <v>14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14.4</v>
      </c>
      <c r="N68" s="65">
        <v>15.1</v>
      </c>
      <c r="O68" s="65">
        <v>14.2</v>
      </c>
      <c r="P68" s="65">
        <v>8.1999999999999993</v>
      </c>
      <c r="Q68" s="45">
        <v>15.2</v>
      </c>
      <c r="R68" s="45">
        <v>3.8</v>
      </c>
      <c r="S68" s="65">
        <v>0</v>
      </c>
      <c r="T68" s="65">
        <v>7.7</v>
      </c>
      <c r="U68" s="65">
        <v>28.3</v>
      </c>
      <c r="V68" s="65">
        <v>19.399999999999999</v>
      </c>
      <c r="W68" s="65">
        <v>14</v>
      </c>
      <c r="X68" s="65">
        <v>17</v>
      </c>
      <c r="Y68" s="65">
        <v>15.3</v>
      </c>
      <c r="Z68" s="65">
        <v>24.4</v>
      </c>
      <c r="AA68" s="65">
        <v>25.4</v>
      </c>
      <c r="AB68" s="65">
        <v>13.1</v>
      </c>
      <c r="AC68" s="65">
        <v>13.1</v>
      </c>
      <c r="AD68" s="65">
        <v>7</v>
      </c>
      <c r="AE68" s="65">
        <v>0</v>
      </c>
      <c r="AF68" s="65">
        <v>0</v>
      </c>
      <c r="AG68" s="54">
        <v>32</v>
      </c>
      <c r="AH68" s="47">
        <f t="shared" si="2"/>
        <v>28.3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5.3</v>
      </c>
      <c r="N69" s="67">
        <v>5.5</v>
      </c>
      <c r="O69" s="67">
        <v>5.2</v>
      </c>
      <c r="P69" s="67">
        <v>3</v>
      </c>
      <c r="Q69" s="45">
        <v>5.6</v>
      </c>
      <c r="R69" s="45">
        <v>1.4</v>
      </c>
      <c r="S69" s="67">
        <v>0</v>
      </c>
      <c r="T69" s="67">
        <v>2.9</v>
      </c>
      <c r="U69" s="67">
        <v>10.3</v>
      </c>
      <c r="V69" s="67">
        <v>7</v>
      </c>
      <c r="W69" s="67">
        <v>5.0999999999999996</v>
      </c>
      <c r="X69" s="67">
        <v>6.2</v>
      </c>
      <c r="Y69" s="67">
        <v>5.6</v>
      </c>
      <c r="Z69" s="67">
        <v>8.9</v>
      </c>
      <c r="AA69" s="67">
        <v>9.3000000000000007</v>
      </c>
      <c r="AB69" s="67">
        <v>4.8</v>
      </c>
      <c r="AC69" s="67">
        <v>4.8</v>
      </c>
      <c r="AD69" s="67">
        <v>2.5</v>
      </c>
      <c r="AE69" s="67">
        <v>0</v>
      </c>
      <c r="AF69" s="67">
        <v>0</v>
      </c>
      <c r="AG69" s="68">
        <v>14</v>
      </c>
      <c r="AH69" s="47">
        <f t="shared" si="2"/>
        <v>10.3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7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8">M67+M68+M69</f>
        <v>49.699999999999996</v>
      </c>
      <c r="N70" s="60">
        <f t="shared" si="8"/>
        <v>50.6</v>
      </c>
      <c r="O70" s="60">
        <f t="shared" si="8"/>
        <v>49.400000000000006</v>
      </c>
      <c r="P70" s="60">
        <f t="shared" si="8"/>
        <v>41.2</v>
      </c>
      <c r="Q70" s="60">
        <f t="shared" si="8"/>
        <v>70.8</v>
      </c>
      <c r="R70" s="60">
        <f t="shared" si="8"/>
        <v>15.200000000000001</v>
      </c>
      <c r="S70" s="60">
        <f t="shared" si="8"/>
        <v>0</v>
      </c>
      <c r="T70" s="60">
        <f t="shared" si="8"/>
        <v>38.6</v>
      </c>
      <c r="U70" s="60">
        <f t="shared" si="8"/>
        <v>98.6</v>
      </c>
      <c r="V70" s="60">
        <f t="shared" si="8"/>
        <v>66.400000000000006</v>
      </c>
      <c r="W70" s="60">
        <f t="shared" si="8"/>
        <v>49.1</v>
      </c>
      <c r="X70" s="60">
        <f t="shared" si="8"/>
        <v>63.2</v>
      </c>
      <c r="Y70" s="60">
        <f t="shared" si="8"/>
        <v>70.899999999999991</v>
      </c>
      <c r="Z70" s="60">
        <f t="shared" si="8"/>
        <v>88.300000000000011</v>
      </c>
      <c r="AA70" s="60">
        <f t="shared" si="8"/>
        <v>89.7</v>
      </c>
      <c r="AB70" s="60">
        <f t="shared" si="8"/>
        <v>51.9</v>
      </c>
      <c r="AC70" s="60">
        <f t="shared" si="8"/>
        <v>52.9</v>
      </c>
      <c r="AD70" s="60">
        <f t="shared" si="8"/>
        <v>23.5</v>
      </c>
      <c r="AE70" s="60">
        <f t="shared" si="8"/>
        <v>0</v>
      </c>
      <c r="AF70" s="60">
        <f t="shared" si="8"/>
        <v>0</v>
      </c>
      <c r="AG70" s="61">
        <f>SUM(AG67:AG69)</f>
        <v>106</v>
      </c>
      <c r="AH70" s="47">
        <f t="shared" si="2"/>
        <v>98.6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15</v>
      </c>
      <c r="C71" s="45">
        <v>15</v>
      </c>
      <c r="D71" s="45">
        <v>15</v>
      </c>
      <c r="E71" s="45">
        <v>22</v>
      </c>
      <c r="F71" s="45">
        <v>22</v>
      </c>
      <c r="G71" s="45">
        <v>17</v>
      </c>
      <c r="H71" s="45">
        <v>21</v>
      </c>
      <c r="I71" s="45">
        <v>25</v>
      </c>
      <c r="J71" s="45">
        <v>23</v>
      </c>
      <c r="K71" s="45">
        <v>23</v>
      </c>
      <c r="L71" s="45">
        <v>23</v>
      </c>
      <c r="M71" s="45">
        <v>20</v>
      </c>
      <c r="N71" s="45">
        <v>21</v>
      </c>
      <c r="O71" s="45">
        <v>41.5</v>
      </c>
      <c r="P71" s="45">
        <v>54</v>
      </c>
      <c r="Q71" s="45">
        <v>43.5</v>
      </c>
      <c r="R71" s="45">
        <v>43.5</v>
      </c>
      <c r="S71" s="45">
        <v>45</v>
      </c>
      <c r="T71" s="45">
        <v>45</v>
      </c>
      <c r="U71" s="45">
        <v>44.4</v>
      </c>
      <c r="V71" s="45">
        <v>42</v>
      </c>
      <c r="W71" s="45">
        <v>36.299999999999997</v>
      </c>
      <c r="X71" s="45">
        <v>30</v>
      </c>
      <c r="Y71" s="45">
        <v>19</v>
      </c>
      <c r="Z71" s="45">
        <v>19</v>
      </c>
      <c r="AA71" s="45">
        <v>19</v>
      </c>
      <c r="AB71" s="45">
        <v>25.5</v>
      </c>
      <c r="AC71" s="45">
        <v>30</v>
      </c>
      <c r="AD71" s="45">
        <v>30</v>
      </c>
      <c r="AE71" s="45">
        <v>25</v>
      </c>
      <c r="AF71" s="45">
        <v>25</v>
      </c>
      <c r="AG71" s="51"/>
      <c r="AH71" s="47">
        <f t="shared" si="2"/>
        <v>54</v>
      </c>
      <c r="AI71" s="48">
        <f t="shared" si="3"/>
        <v>15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336</v>
      </c>
      <c r="C73" s="65">
        <v>297</v>
      </c>
      <c r="D73" s="65">
        <v>282</v>
      </c>
      <c r="E73" s="65">
        <v>280</v>
      </c>
      <c r="F73" s="65">
        <v>304</v>
      </c>
      <c r="G73" s="65">
        <v>329</v>
      </c>
      <c r="H73" s="65">
        <v>337</v>
      </c>
      <c r="I73" s="65">
        <v>185</v>
      </c>
      <c r="J73" s="65">
        <v>93</v>
      </c>
      <c r="K73" s="65">
        <v>26</v>
      </c>
      <c r="L73" s="65">
        <v>8</v>
      </c>
      <c r="M73" s="65">
        <v>17.899999999999999</v>
      </c>
      <c r="N73" s="65">
        <v>156</v>
      </c>
      <c r="O73" s="65">
        <v>246.1</v>
      </c>
      <c r="P73" s="65">
        <v>363.2</v>
      </c>
      <c r="Q73" s="65">
        <v>349.3</v>
      </c>
      <c r="R73" s="65">
        <v>354</v>
      </c>
      <c r="S73" s="65">
        <v>365</v>
      </c>
      <c r="T73" s="65">
        <v>365</v>
      </c>
      <c r="U73" s="65">
        <v>350</v>
      </c>
      <c r="V73" s="65">
        <v>301</v>
      </c>
      <c r="W73" s="65">
        <v>326</v>
      </c>
      <c r="X73" s="65">
        <v>247</v>
      </c>
      <c r="Y73" s="65">
        <v>290</v>
      </c>
      <c r="Z73" s="65">
        <v>164</v>
      </c>
      <c r="AA73" s="65">
        <v>179</v>
      </c>
      <c r="AB73" s="65">
        <v>247</v>
      </c>
      <c r="AC73" s="65">
        <v>320</v>
      </c>
      <c r="AD73" s="65">
        <v>337</v>
      </c>
      <c r="AE73" s="65">
        <v>340</v>
      </c>
      <c r="AF73" s="65">
        <v>332</v>
      </c>
      <c r="AG73" s="75"/>
      <c r="AH73" s="47">
        <f t="shared" si="2"/>
        <v>365</v>
      </c>
      <c r="AI73" s="48">
        <f t="shared" si="3"/>
        <v>8</v>
      </c>
      <c r="AK73" s="49"/>
    </row>
    <row r="74" spans="1:40" x14ac:dyDescent="0.25">
      <c r="A74" s="53" t="s">
        <v>78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76">
        <v>0</v>
      </c>
      <c r="N74" s="76">
        <v>0</v>
      </c>
      <c r="O74" s="76">
        <v>14.8</v>
      </c>
      <c r="P74" s="76">
        <v>15</v>
      </c>
      <c r="Q74" s="76">
        <v>14</v>
      </c>
      <c r="R74" s="76">
        <v>14</v>
      </c>
      <c r="S74" s="76">
        <v>52</v>
      </c>
      <c r="T74" s="76">
        <v>52</v>
      </c>
      <c r="U74" s="76">
        <v>65</v>
      </c>
      <c r="V74" s="76">
        <v>65</v>
      </c>
      <c r="W74" s="76">
        <v>58</v>
      </c>
      <c r="X74" s="76">
        <v>55</v>
      </c>
      <c r="Y74" s="65">
        <v>55</v>
      </c>
      <c r="Z74" s="65">
        <v>55</v>
      </c>
      <c r="AA74" s="65">
        <v>55</v>
      </c>
      <c r="AB74" s="65">
        <v>51.7</v>
      </c>
      <c r="AC74" s="65">
        <v>52</v>
      </c>
      <c r="AD74" s="65">
        <v>48</v>
      </c>
      <c r="AE74" s="65">
        <v>50</v>
      </c>
      <c r="AF74" s="65">
        <v>50</v>
      </c>
      <c r="AG74" s="75"/>
      <c r="AH74" s="47">
        <f t="shared" si="2"/>
        <v>65</v>
      </c>
      <c r="AI74" s="48">
        <f t="shared" si="3"/>
        <v>0</v>
      </c>
      <c r="AK74" s="49"/>
    </row>
    <row r="75" spans="1:40" x14ac:dyDescent="0.25">
      <c r="A75" s="53" t="s">
        <v>79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25</v>
      </c>
      <c r="P75" s="45">
        <v>30</v>
      </c>
      <c r="Q75" s="45">
        <v>32</v>
      </c>
      <c r="R75" s="45">
        <v>32</v>
      </c>
      <c r="S75" s="45">
        <v>60</v>
      </c>
      <c r="T75" s="45">
        <v>60</v>
      </c>
      <c r="U75" s="45">
        <v>61</v>
      </c>
      <c r="V75" s="45">
        <v>61</v>
      </c>
      <c r="W75" s="45">
        <v>61</v>
      </c>
      <c r="X75" s="45">
        <v>61</v>
      </c>
      <c r="Y75" s="45">
        <v>61</v>
      </c>
      <c r="Z75" s="45">
        <v>61</v>
      </c>
      <c r="AA75" s="45">
        <v>61</v>
      </c>
      <c r="AB75" s="45">
        <v>70</v>
      </c>
      <c r="AC75" s="45">
        <v>65</v>
      </c>
      <c r="AD75" s="45">
        <v>85</v>
      </c>
      <c r="AE75" s="45">
        <v>85</v>
      </c>
      <c r="AF75" s="45">
        <v>85</v>
      </c>
      <c r="AG75" s="75"/>
      <c r="AH75" s="47">
        <f t="shared" ref="AH75:AH117" si="9">MAX(B75:AF75)</f>
        <v>85</v>
      </c>
      <c r="AI75" s="48">
        <f t="shared" ref="AI75:AI117" si="10">MIN(B75:AF75)</f>
        <v>0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9"/>
        <v>5</v>
      </c>
      <c r="AI76" s="48">
        <f t="shared" si="10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9"/>
        <v>0</v>
      </c>
      <c r="AI77" s="48">
        <f t="shared" si="1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9"/>
        <v>0</v>
      </c>
      <c r="AI78" s="48">
        <f t="shared" si="1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9"/>
        <v>0</v>
      </c>
      <c r="AI80" s="48">
        <f t="shared" si="1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9"/>
        <v>0</v>
      </c>
      <c r="AI81" s="48">
        <f t="shared" si="1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1">SUMIF(B71:B81,"&gt;0")</f>
        <v>356</v>
      </c>
      <c r="C82" s="60">
        <f t="shared" si="11"/>
        <v>317</v>
      </c>
      <c r="D82" s="60">
        <f t="shared" si="11"/>
        <v>302</v>
      </c>
      <c r="E82" s="60">
        <f t="shared" si="11"/>
        <v>307</v>
      </c>
      <c r="F82" s="60">
        <f t="shared" si="11"/>
        <v>331</v>
      </c>
      <c r="G82" s="60">
        <f t="shared" si="11"/>
        <v>351</v>
      </c>
      <c r="H82" s="60">
        <f t="shared" si="11"/>
        <v>363</v>
      </c>
      <c r="I82" s="60">
        <f t="shared" si="11"/>
        <v>215</v>
      </c>
      <c r="J82" s="60">
        <f t="shared" si="11"/>
        <v>121</v>
      </c>
      <c r="K82" s="60">
        <f t="shared" si="11"/>
        <v>54</v>
      </c>
      <c r="L82" s="60">
        <f t="shared" si="11"/>
        <v>36</v>
      </c>
      <c r="M82" s="60">
        <f t="shared" si="11"/>
        <v>42.9</v>
      </c>
      <c r="N82" s="60">
        <f t="shared" si="11"/>
        <v>182</v>
      </c>
      <c r="O82" s="60">
        <f t="shared" si="11"/>
        <v>332.40000000000003</v>
      </c>
      <c r="P82" s="60">
        <f t="shared" si="11"/>
        <v>467.2</v>
      </c>
      <c r="Q82" s="60">
        <f t="shared" si="11"/>
        <v>443.8</v>
      </c>
      <c r="R82" s="60">
        <f t="shared" si="11"/>
        <v>448.5</v>
      </c>
      <c r="S82" s="60">
        <f t="shared" si="11"/>
        <v>527</v>
      </c>
      <c r="T82" s="60">
        <f t="shared" si="11"/>
        <v>527</v>
      </c>
      <c r="U82" s="60">
        <f t="shared" si="11"/>
        <v>525.4</v>
      </c>
      <c r="V82" s="60">
        <f t="shared" si="11"/>
        <v>474</v>
      </c>
      <c r="W82" s="60">
        <f t="shared" si="11"/>
        <v>486.3</v>
      </c>
      <c r="X82" s="60">
        <f t="shared" si="11"/>
        <v>398</v>
      </c>
      <c r="Y82" s="60">
        <f t="shared" si="11"/>
        <v>430</v>
      </c>
      <c r="Z82" s="60">
        <f t="shared" si="11"/>
        <v>304</v>
      </c>
      <c r="AA82" s="60">
        <f t="shared" si="11"/>
        <v>319</v>
      </c>
      <c r="AB82" s="60">
        <f t="shared" si="11"/>
        <v>399.2</v>
      </c>
      <c r="AC82" s="60">
        <f t="shared" si="11"/>
        <v>472</v>
      </c>
      <c r="AD82" s="60">
        <f t="shared" si="11"/>
        <v>505</v>
      </c>
      <c r="AE82" s="60">
        <f t="shared" si="11"/>
        <v>505</v>
      </c>
      <c r="AF82" s="60">
        <f t="shared" si="11"/>
        <v>497</v>
      </c>
      <c r="AG82" s="88">
        <f>SUM(AG71:AG81)</f>
        <v>0</v>
      </c>
      <c r="AH82" s="47">
        <f t="shared" si="9"/>
        <v>527</v>
      </c>
      <c r="AI82" s="48">
        <f t="shared" si="10"/>
        <v>36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9"/>
        <v>0</v>
      </c>
      <c r="AI83" s="48">
        <f t="shared" si="1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9"/>
        <v>0</v>
      </c>
      <c r="AI84" s="48">
        <f t="shared" si="1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9"/>
        <v>0</v>
      </c>
      <c r="AI85" s="48">
        <f t="shared" si="1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9"/>
        <v>0</v>
      </c>
      <c r="AI86" s="48">
        <f t="shared" si="10"/>
        <v>0</v>
      </c>
    </row>
    <row r="87" spans="1:40" ht="15.75" thickBot="1" x14ac:dyDescent="0.3">
      <c r="A87" s="74" t="s">
        <v>94</v>
      </c>
      <c r="B87" s="95">
        <f t="shared" ref="B87:AG87" si="12">B48+B52+B70+B66+B82+B86</f>
        <v>831.74</v>
      </c>
      <c r="C87" s="95">
        <f t="shared" si="12"/>
        <v>792.74</v>
      </c>
      <c r="D87" s="95">
        <f t="shared" si="12"/>
        <v>777.74</v>
      </c>
      <c r="E87" s="95">
        <f t="shared" si="12"/>
        <v>801.84</v>
      </c>
      <c r="F87" s="95">
        <f t="shared" si="12"/>
        <v>825.84</v>
      </c>
      <c r="G87" s="95">
        <f t="shared" si="12"/>
        <v>895.34</v>
      </c>
      <c r="H87" s="95">
        <f t="shared" si="12"/>
        <v>952.64</v>
      </c>
      <c r="I87" s="95">
        <f t="shared" si="12"/>
        <v>1013.2399999999999</v>
      </c>
      <c r="J87" s="95">
        <f t="shared" si="12"/>
        <v>1133.24</v>
      </c>
      <c r="K87" s="95">
        <f t="shared" si="12"/>
        <v>1185.24</v>
      </c>
      <c r="L87" s="95">
        <f t="shared" si="12"/>
        <v>1219.24</v>
      </c>
      <c r="M87" s="95">
        <f t="shared" si="12"/>
        <v>1278.54</v>
      </c>
      <c r="N87" s="95">
        <f t="shared" si="12"/>
        <v>1122.1399999999999</v>
      </c>
      <c r="O87" s="95">
        <f t="shared" si="12"/>
        <v>1069.6399999999999</v>
      </c>
      <c r="P87" s="95">
        <f t="shared" si="12"/>
        <v>1168.94</v>
      </c>
      <c r="Q87" s="95">
        <f t="shared" si="12"/>
        <v>1156.04</v>
      </c>
      <c r="R87" s="95">
        <f t="shared" si="12"/>
        <v>1105.1399999999999</v>
      </c>
      <c r="S87" s="95">
        <f t="shared" si="12"/>
        <v>1180.6399999999999</v>
      </c>
      <c r="T87" s="95">
        <f t="shared" si="12"/>
        <v>1214.24</v>
      </c>
      <c r="U87" s="95">
        <f t="shared" si="12"/>
        <v>1260.1399999999999</v>
      </c>
      <c r="V87" s="95">
        <f t="shared" si="12"/>
        <v>1251.24</v>
      </c>
      <c r="W87" s="95">
        <f t="shared" si="12"/>
        <v>1188.8399999999999</v>
      </c>
      <c r="X87" s="95">
        <f t="shared" si="12"/>
        <v>1260.6400000000001</v>
      </c>
      <c r="Y87" s="95">
        <f t="shared" si="12"/>
        <v>1422.04</v>
      </c>
      <c r="Z87" s="95">
        <f t="shared" si="12"/>
        <v>1359.04</v>
      </c>
      <c r="AA87" s="95">
        <f t="shared" si="12"/>
        <v>1346.74</v>
      </c>
      <c r="AB87" s="95">
        <f t="shared" si="12"/>
        <v>1279.1399999999999</v>
      </c>
      <c r="AC87" s="95">
        <f t="shared" si="12"/>
        <v>1215.94</v>
      </c>
      <c r="AD87" s="95">
        <f t="shared" si="12"/>
        <v>1138.54</v>
      </c>
      <c r="AE87" s="95">
        <f t="shared" si="12"/>
        <v>1081.04</v>
      </c>
      <c r="AF87" s="95">
        <f t="shared" si="12"/>
        <v>1028.04</v>
      </c>
      <c r="AG87" s="61">
        <f t="shared" si="12"/>
        <v>2065.09</v>
      </c>
      <c r="AH87" s="47">
        <f>MAX(B87:AF87)</f>
        <v>1422.04</v>
      </c>
      <c r="AI87" s="48">
        <f>MIN(B87:AF87)</f>
        <v>777.74</v>
      </c>
    </row>
    <row r="88" spans="1:40" ht="15.75" thickBot="1" x14ac:dyDescent="0.3">
      <c r="A88" s="96" t="s">
        <v>95</v>
      </c>
      <c r="B88" s="97">
        <v>200</v>
      </c>
      <c r="C88" s="97">
        <v>200</v>
      </c>
      <c r="D88" s="97">
        <v>200</v>
      </c>
      <c r="E88" s="97">
        <v>200</v>
      </c>
      <c r="F88" s="97">
        <v>200</v>
      </c>
      <c r="G88" s="97">
        <v>200</v>
      </c>
      <c r="H88" s="97">
        <v>200</v>
      </c>
      <c r="I88" s="97">
        <v>200</v>
      </c>
      <c r="J88" s="97">
        <v>200</v>
      </c>
      <c r="K88" s="97">
        <v>250</v>
      </c>
      <c r="L88" s="97">
        <v>250</v>
      </c>
      <c r="M88" s="97">
        <v>250</v>
      </c>
      <c r="N88" s="97">
        <v>250</v>
      </c>
      <c r="O88" s="97">
        <v>220</v>
      </c>
      <c r="P88" s="97">
        <v>150</v>
      </c>
      <c r="Q88" s="97"/>
      <c r="R88" s="97"/>
      <c r="S88" s="97"/>
      <c r="T88" s="97"/>
      <c r="U88" s="97"/>
      <c r="V88" s="97"/>
      <c r="W88" s="97">
        <v>180</v>
      </c>
      <c r="X88" s="97">
        <v>180</v>
      </c>
      <c r="Y88" s="97">
        <v>180</v>
      </c>
      <c r="Z88" s="97">
        <v>180</v>
      </c>
      <c r="AA88" s="97">
        <v>180</v>
      </c>
      <c r="AB88" s="97">
        <v>140</v>
      </c>
      <c r="AC88" s="97">
        <v>140</v>
      </c>
      <c r="AD88" s="97">
        <v>0</v>
      </c>
      <c r="AE88" s="97">
        <v>0</v>
      </c>
      <c r="AF88" s="97"/>
      <c r="AG88" s="88"/>
      <c r="AH88" s="47">
        <f t="shared" si="9"/>
        <v>250</v>
      </c>
      <c r="AI88" s="48">
        <f t="shared" si="10"/>
        <v>0</v>
      </c>
    </row>
    <row r="89" spans="1:40" ht="15.75" thickBot="1" x14ac:dyDescent="0.3">
      <c r="A89" s="74" t="s">
        <v>96</v>
      </c>
      <c r="B89" s="95">
        <f t="shared" ref="B89:AF89" si="13">B87+B88</f>
        <v>1031.74</v>
      </c>
      <c r="C89" s="95">
        <f t="shared" si="13"/>
        <v>992.74</v>
      </c>
      <c r="D89" s="95">
        <f t="shared" si="13"/>
        <v>977.74</v>
      </c>
      <c r="E89" s="95">
        <f t="shared" si="13"/>
        <v>1001.84</v>
      </c>
      <c r="F89" s="95">
        <f t="shared" si="13"/>
        <v>1025.8400000000001</v>
      </c>
      <c r="G89" s="95">
        <f t="shared" si="13"/>
        <v>1095.3400000000001</v>
      </c>
      <c r="H89" s="95">
        <f t="shared" si="13"/>
        <v>1152.6399999999999</v>
      </c>
      <c r="I89" s="95">
        <f t="shared" si="13"/>
        <v>1213.2399999999998</v>
      </c>
      <c r="J89" s="95">
        <f t="shared" si="13"/>
        <v>1333.24</v>
      </c>
      <c r="K89" s="95">
        <f t="shared" si="13"/>
        <v>1435.24</v>
      </c>
      <c r="L89" s="95">
        <f t="shared" si="13"/>
        <v>1469.24</v>
      </c>
      <c r="M89" s="95">
        <f t="shared" si="13"/>
        <v>1528.54</v>
      </c>
      <c r="N89" s="95">
        <f t="shared" si="13"/>
        <v>1372.1399999999999</v>
      </c>
      <c r="O89" s="95">
        <f t="shared" si="13"/>
        <v>1289.6399999999999</v>
      </c>
      <c r="P89" s="95">
        <f t="shared" si="13"/>
        <v>1318.94</v>
      </c>
      <c r="Q89" s="95">
        <f t="shared" si="13"/>
        <v>1156.04</v>
      </c>
      <c r="R89" s="95">
        <f t="shared" si="13"/>
        <v>1105.1399999999999</v>
      </c>
      <c r="S89" s="95">
        <f t="shared" si="13"/>
        <v>1180.6399999999999</v>
      </c>
      <c r="T89" s="95">
        <f t="shared" si="13"/>
        <v>1214.24</v>
      </c>
      <c r="U89" s="95">
        <f t="shared" si="13"/>
        <v>1260.1399999999999</v>
      </c>
      <c r="V89" s="95">
        <f t="shared" si="13"/>
        <v>1251.24</v>
      </c>
      <c r="W89" s="95">
        <f t="shared" si="13"/>
        <v>1368.84</v>
      </c>
      <c r="X89" s="95">
        <f t="shared" si="13"/>
        <v>1440.64</v>
      </c>
      <c r="Y89" s="95">
        <f t="shared" si="13"/>
        <v>1602.04</v>
      </c>
      <c r="Z89" s="95">
        <f t="shared" si="13"/>
        <v>1539.04</v>
      </c>
      <c r="AA89" s="95">
        <f t="shared" si="13"/>
        <v>1526.74</v>
      </c>
      <c r="AB89" s="95">
        <f t="shared" si="13"/>
        <v>1419.1399999999999</v>
      </c>
      <c r="AC89" s="95">
        <f t="shared" si="13"/>
        <v>1355.94</v>
      </c>
      <c r="AD89" s="95">
        <f t="shared" si="13"/>
        <v>1138.54</v>
      </c>
      <c r="AE89" s="95">
        <f t="shared" si="13"/>
        <v>1081.04</v>
      </c>
      <c r="AF89" s="95">
        <f t="shared" si="13"/>
        <v>1028.04</v>
      </c>
      <c r="AG89" s="88">
        <f>AG86+AG82+AG70+AG66+AG48+AG88</f>
        <v>1526.99</v>
      </c>
      <c r="AH89" s="47">
        <f t="shared" si="9"/>
        <v>1602.04</v>
      </c>
      <c r="AI89" s="48">
        <f t="shared" si="10"/>
        <v>977.74</v>
      </c>
    </row>
    <row r="90" spans="1:40" ht="15.75" thickBot="1" x14ac:dyDescent="0.3">
      <c r="A90" s="74" t="s">
        <v>97</v>
      </c>
      <c r="B90" s="95">
        <f t="shared" ref="B90:AF90" si="14">B89-B97</f>
        <v>1031.74</v>
      </c>
      <c r="C90" s="95">
        <f t="shared" si="14"/>
        <v>992.74</v>
      </c>
      <c r="D90" s="95">
        <f t="shared" si="14"/>
        <v>977.74</v>
      </c>
      <c r="E90" s="95">
        <f t="shared" si="14"/>
        <v>1001.84</v>
      </c>
      <c r="F90" s="95">
        <f t="shared" si="14"/>
        <v>1025.8400000000001</v>
      </c>
      <c r="G90" s="95">
        <f t="shared" si="14"/>
        <v>1095.3400000000001</v>
      </c>
      <c r="H90" s="95">
        <f t="shared" si="14"/>
        <v>1152.6399999999999</v>
      </c>
      <c r="I90" s="95">
        <f t="shared" si="14"/>
        <v>1213.2399999999998</v>
      </c>
      <c r="J90" s="95">
        <f t="shared" si="14"/>
        <v>1333.24</v>
      </c>
      <c r="K90" s="95">
        <f t="shared" si="14"/>
        <v>1435.24</v>
      </c>
      <c r="L90" s="95">
        <f t="shared" si="14"/>
        <v>1469.24</v>
      </c>
      <c r="M90" s="95">
        <f t="shared" si="14"/>
        <v>1528.54</v>
      </c>
      <c r="N90" s="95">
        <f t="shared" si="14"/>
        <v>1372.1399999999999</v>
      </c>
      <c r="O90" s="95">
        <f t="shared" si="14"/>
        <v>1289.6399999999999</v>
      </c>
      <c r="P90" s="95">
        <f t="shared" si="14"/>
        <v>1318.94</v>
      </c>
      <c r="Q90" s="95">
        <f t="shared" si="14"/>
        <v>1156.04</v>
      </c>
      <c r="R90" s="95">
        <f t="shared" si="14"/>
        <v>1105.1399999999999</v>
      </c>
      <c r="S90" s="95">
        <f t="shared" si="14"/>
        <v>1180.6399999999999</v>
      </c>
      <c r="T90" s="95">
        <f t="shared" si="14"/>
        <v>1214.24</v>
      </c>
      <c r="U90" s="95">
        <f t="shared" si="14"/>
        <v>1260.1399999999999</v>
      </c>
      <c r="V90" s="95">
        <f t="shared" si="14"/>
        <v>1251.24</v>
      </c>
      <c r="W90" s="95">
        <f t="shared" si="14"/>
        <v>1368.84</v>
      </c>
      <c r="X90" s="95">
        <f t="shared" si="14"/>
        <v>1440.64</v>
      </c>
      <c r="Y90" s="95">
        <f t="shared" si="14"/>
        <v>1602.04</v>
      </c>
      <c r="Z90" s="95">
        <f t="shared" si="14"/>
        <v>1539.04</v>
      </c>
      <c r="AA90" s="95">
        <f t="shared" si="14"/>
        <v>1526.74</v>
      </c>
      <c r="AB90" s="95">
        <f t="shared" si="14"/>
        <v>1419.1399999999999</v>
      </c>
      <c r="AC90" s="95">
        <f t="shared" si="14"/>
        <v>1355.94</v>
      </c>
      <c r="AD90" s="95">
        <f t="shared" si="14"/>
        <v>1138.54</v>
      </c>
      <c r="AE90" s="95">
        <f t="shared" si="14"/>
        <v>1081.04</v>
      </c>
      <c r="AF90" s="95">
        <f t="shared" si="14"/>
        <v>1028.04</v>
      </c>
      <c r="AG90" s="88"/>
      <c r="AH90" s="47">
        <f t="shared" si="9"/>
        <v>1602.04</v>
      </c>
      <c r="AI90" s="48">
        <f t="shared" si="10"/>
        <v>977.74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9"/>
        <v>0</v>
      </c>
      <c r="AI91" s="48">
        <f t="shared" si="1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9"/>
        <v>0</v>
      </c>
      <c r="AI92" s="48">
        <f t="shared" si="1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9"/>
        <v>0</v>
      </c>
      <c r="AI93" s="48">
        <f t="shared" si="1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9"/>
        <v>0</v>
      </c>
      <c r="AI96" s="48">
        <f t="shared" si="1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9"/>
        <v>0</v>
      </c>
      <c r="AI97" s="48">
        <f t="shared" si="10"/>
        <v>0</v>
      </c>
      <c r="AK97" s="49"/>
    </row>
    <row r="98" spans="1:37" ht="15.75" thickBot="1" x14ac:dyDescent="0.3">
      <c r="A98" s="74" t="s">
        <v>102</v>
      </c>
      <c r="B98" s="60">
        <f t="shared" ref="B98:AF98" si="15">B82-B97</f>
        <v>356</v>
      </c>
      <c r="C98" s="60">
        <f t="shared" si="15"/>
        <v>317</v>
      </c>
      <c r="D98" s="60">
        <f t="shared" si="15"/>
        <v>302</v>
      </c>
      <c r="E98" s="60">
        <f t="shared" si="15"/>
        <v>307</v>
      </c>
      <c r="F98" s="60">
        <f t="shared" si="15"/>
        <v>331</v>
      </c>
      <c r="G98" s="60">
        <f t="shared" si="15"/>
        <v>351</v>
      </c>
      <c r="H98" s="60">
        <f t="shared" si="15"/>
        <v>363</v>
      </c>
      <c r="I98" s="60">
        <f t="shared" si="15"/>
        <v>215</v>
      </c>
      <c r="J98" s="60">
        <f t="shared" si="15"/>
        <v>121</v>
      </c>
      <c r="K98" s="60">
        <f t="shared" si="15"/>
        <v>54</v>
      </c>
      <c r="L98" s="60">
        <f t="shared" si="15"/>
        <v>36</v>
      </c>
      <c r="M98" s="60">
        <f t="shared" si="15"/>
        <v>42.9</v>
      </c>
      <c r="N98" s="60">
        <f t="shared" si="15"/>
        <v>182</v>
      </c>
      <c r="O98" s="60">
        <f t="shared" si="15"/>
        <v>332.40000000000003</v>
      </c>
      <c r="P98" s="60">
        <f t="shared" si="15"/>
        <v>467.2</v>
      </c>
      <c r="Q98" s="60">
        <f t="shared" si="15"/>
        <v>443.8</v>
      </c>
      <c r="R98" s="60">
        <f t="shared" si="15"/>
        <v>448.5</v>
      </c>
      <c r="S98" s="60">
        <f t="shared" si="15"/>
        <v>527</v>
      </c>
      <c r="T98" s="60">
        <f t="shared" si="15"/>
        <v>527</v>
      </c>
      <c r="U98" s="60">
        <f t="shared" si="15"/>
        <v>525.4</v>
      </c>
      <c r="V98" s="60">
        <f t="shared" si="15"/>
        <v>474</v>
      </c>
      <c r="W98" s="60">
        <f t="shared" si="15"/>
        <v>486.3</v>
      </c>
      <c r="X98" s="60">
        <f t="shared" si="15"/>
        <v>398</v>
      </c>
      <c r="Y98" s="60">
        <f t="shared" si="15"/>
        <v>430</v>
      </c>
      <c r="Z98" s="60">
        <f t="shared" si="15"/>
        <v>304</v>
      </c>
      <c r="AA98" s="60">
        <f t="shared" si="15"/>
        <v>319</v>
      </c>
      <c r="AB98" s="60">
        <f t="shared" si="15"/>
        <v>399.2</v>
      </c>
      <c r="AC98" s="60">
        <f t="shared" si="15"/>
        <v>472</v>
      </c>
      <c r="AD98" s="60">
        <f t="shared" si="15"/>
        <v>505</v>
      </c>
      <c r="AE98" s="60">
        <f t="shared" si="15"/>
        <v>505</v>
      </c>
      <c r="AF98" s="60">
        <f t="shared" si="15"/>
        <v>497</v>
      </c>
      <c r="AG98" s="88"/>
      <c r="AH98" s="47">
        <f t="shared" si="9"/>
        <v>527</v>
      </c>
      <c r="AI98" s="48">
        <f t="shared" si="10"/>
        <v>36</v>
      </c>
    </row>
    <row r="99" spans="1:37" x14ac:dyDescent="0.25">
      <c r="A99" s="100" t="s">
        <v>103</v>
      </c>
      <c r="B99" s="101">
        <v>49.994999999999997</v>
      </c>
      <c r="C99" s="101">
        <v>49.975000000000001</v>
      </c>
      <c r="D99" s="101">
        <v>49.976999999999997</v>
      </c>
      <c r="E99" s="101">
        <v>49.984000000000002</v>
      </c>
      <c r="F99" s="101">
        <v>49.929000000000002</v>
      </c>
      <c r="G99" s="101">
        <v>49.985999999999997</v>
      </c>
      <c r="H99" s="101">
        <v>50.031999999999996</v>
      </c>
      <c r="I99" s="101">
        <v>49.994999999999997</v>
      </c>
      <c r="J99" s="101">
        <v>50.006999999999998</v>
      </c>
      <c r="K99" s="101">
        <v>49.74</v>
      </c>
      <c r="L99" s="101">
        <v>49.908000000000001</v>
      </c>
      <c r="M99" s="101">
        <v>50.012</v>
      </c>
      <c r="N99" s="101">
        <v>49.994999999999997</v>
      </c>
      <c r="O99" s="101">
        <v>49.948</v>
      </c>
      <c r="P99" s="101">
        <v>50.027000000000001</v>
      </c>
      <c r="Q99" s="101">
        <v>50</v>
      </c>
      <c r="R99" s="101">
        <v>50.155000000000001</v>
      </c>
      <c r="S99" s="101">
        <v>49.92</v>
      </c>
      <c r="T99" s="101">
        <v>49.93</v>
      </c>
      <c r="U99" s="101">
        <v>49.624000000000002</v>
      </c>
      <c r="V99" s="101">
        <v>49.962000000000003</v>
      </c>
      <c r="W99" s="101">
        <v>50.075000000000003</v>
      </c>
      <c r="X99" s="101">
        <v>50.031999999999996</v>
      </c>
      <c r="Y99" s="101">
        <v>50.082999999999998</v>
      </c>
      <c r="Z99" s="101">
        <v>49.9</v>
      </c>
      <c r="AA99" s="101">
        <v>50.006999999999998</v>
      </c>
      <c r="AB99" s="101">
        <v>50.14</v>
      </c>
      <c r="AC99" s="101">
        <v>50.107999999999997</v>
      </c>
      <c r="AD99" s="101">
        <v>50.01</v>
      </c>
      <c r="AE99" s="101">
        <v>50.14</v>
      </c>
      <c r="AF99" s="101">
        <v>49.99</v>
      </c>
      <c r="AG99" s="102"/>
      <c r="AH99" s="47">
        <f t="shared" si="9"/>
        <v>50.155000000000001</v>
      </c>
      <c r="AI99" s="48">
        <f t="shared" si="10"/>
        <v>49.624000000000002</v>
      </c>
    </row>
    <row r="100" spans="1:37" x14ac:dyDescent="0.25">
      <c r="A100" s="103" t="s">
        <v>104</v>
      </c>
      <c r="B100" s="65">
        <v>130.1</v>
      </c>
      <c r="C100" s="65">
        <v>130.30000000000001</v>
      </c>
      <c r="D100" s="65">
        <v>131.4</v>
      </c>
      <c r="E100" s="65">
        <v>130.80000000000001</v>
      </c>
      <c r="F100" s="65">
        <v>129.6</v>
      </c>
      <c r="G100" s="65">
        <v>129</v>
      </c>
      <c r="H100" s="65">
        <v>128.30000000000001</v>
      </c>
      <c r="I100" s="65">
        <v>127</v>
      </c>
      <c r="J100" s="65">
        <v>125.3</v>
      </c>
      <c r="K100" s="65">
        <v>125.7</v>
      </c>
      <c r="L100" s="65">
        <v>126.5</v>
      </c>
      <c r="M100" s="65">
        <v>128.19999999999999</v>
      </c>
      <c r="N100" s="65">
        <v>128.80000000000001</v>
      </c>
      <c r="O100" s="65">
        <v>127</v>
      </c>
      <c r="P100" s="65">
        <v>124.7</v>
      </c>
      <c r="Q100" s="65">
        <v>130.4</v>
      </c>
      <c r="R100" s="65">
        <v>128.9</v>
      </c>
      <c r="S100" s="65">
        <v>124.1</v>
      </c>
      <c r="T100" s="65">
        <v>126.2</v>
      </c>
      <c r="U100" s="65">
        <v>126.9</v>
      </c>
      <c r="V100" s="65">
        <v>127.3</v>
      </c>
      <c r="W100" s="65">
        <v>127.6</v>
      </c>
      <c r="X100" s="65">
        <v>129</v>
      </c>
      <c r="Y100" s="65">
        <v>127</v>
      </c>
      <c r="Z100" s="65">
        <v>129</v>
      </c>
      <c r="AA100" s="65">
        <v>128.4</v>
      </c>
      <c r="AB100" s="65">
        <v>128.4</v>
      </c>
      <c r="AC100" s="65"/>
      <c r="AD100" s="65">
        <v>130</v>
      </c>
      <c r="AE100" s="65">
        <v>130</v>
      </c>
      <c r="AF100" s="65">
        <v>130</v>
      </c>
      <c r="AG100" s="104"/>
      <c r="AH100" s="47">
        <f t="shared" si="9"/>
        <v>131.4</v>
      </c>
      <c r="AI100" s="48">
        <f t="shared" si="10"/>
        <v>124.1</v>
      </c>
    </row>
    <row r="101" spans="1:37" x14ac:dyDescent="0.25">
      <c r="A101" s="103" t="s">
        <v>105</v>
      </c>
      <c r="B101" s="65">
        <v>133.1</v>
      </c>
      <c r="C101" s="65">
        <v>133.5</v>
      </c>
      <c r="D101" s="65">
        <v>134.1</v>
      </c>
      <c r="E101" s="65">
        <v>134</v>
      </c>
      <c r="F101" s="65">
        <v>133.1</v>
      </c>
      <c r="G101" s="65">
        <v>132.5</v>
      </c>
      <c r="H101" s="65">
        <v>131.6</v>
      </c>
      <c r="I101" s="65">
        <v>130.19999999999999</v>
      </c>
      <c r="J101" s="65">
        <v>128.4</v>
      </c>
      <c r="K101" s="65">
        <v>127.9</v>
      </c>
      <c r="L101" s="65">
        <v>129.30000000000001</v>
      </c>
      <c r="M101" s="65">
        <v>130.4</v>
      </c>
      <c r="N101" s="65">
        <v>131</v>
      </c>
      <c r="O101" s="65">
        <v>129.4</v>
      </c>
      <c r="P101" s="65">
        <v>127.3</v>
      </c>
      <c r="Q101" s="65">
        <v>0</v>
      </c>
      <c r="R101" s="65">
        <v>130.5</v>
      </c>
      <c r="S101" s="65">
        <v>127</v>
      </c>
      <c r="T101" s="65">
        <v>129</v>
      </c>
      <c r="U101" s="65">
        <v>129</v>
      </c>
      <c r="V101" s="65">
        <v>129.5</v>
      </c>
      <c r="W101" s="65">
        <v>129.69999999999999</v>
      </c>
      <c r="X101" s="65">
        <v>131.30000000000001</v>
      </c>
      <c r="Y101" s="65">
        <v>129.19999999999999</v>
      </c>
      <c r="Z101" s="65">
        <v>131.1</v>
      </c>
      <c r="AA101" s="65">
        <v>130.80000000000001</v>
      </c>
      <c r="AB101" s="65">
        <v>130.80000000000001</v>
      </c>
      <c r="AC101" s="65"/>
      <c r="AD101" s="65">
        <v>132</v>
      </c>
      <c r="AE101" s="65">
        <v>132.9</v>
      </c>
      <c r="AF101" s="65">
        <v>132</v>
      </c>
      <c r="AG101" s="104"/>
      <c r="AH101" s="47">
        <f t="shared" si="9"/>
        <v>134.1</v>
      </c>
      <c r="AI101" s="48">
        <f t="shared" si="10"/>
        <v>0</v>
      </c>
    </row>
    <row r="102" spans="1:37" x14ac:dyDescent="0.25">
      <c r="A102" s="103" t="s">
        <v>106</v>
      </c>
      <c r="B102" s="65">
        <v>131.30000000000001</v>
      </c>
      <c r="C102" s="65">
        <v>131</v>
      </c>
      <c r="D102" s="65">
        <v>132.5</v>
      </c>
      <c r="E102" s="65">
        <v>130.69999999999999</v>
      </c>
      <c r="F102" s="65">
        <v>130.30000000000001</v>
      </c>
      <c r="G102" s="65">
        <v>127.6</v>
      </c>
      <c r="H102" s="65">
        <v>129</v>
      </c>
      <c r="I102" s="65">
        <v>131.1</v>
      </c>
      <c r="J102" s="65">
        <v>127.2</v>
      </c>
      <c r="K102" s="65">
        <v>126.5</v>
      </c>
      <c r="L102" s="65">
        <v>125.3</v>
      </c>
      <c r="M102" s="65">
        <v>127.5</v>
      </c>
      <c r="N102" s="65">
        <v>132.1</v>
      </c>
      <c r="O102" s="65">
        <v>131.69999999999999</v>
      </c>
      <c r="P102" s="65">
        <v>126.5</v>
      </c>
      <c r="Q102" s="65">
        <v>128.5</v>
      </c>
      <c r="R102" s="65">
        <v>126.3</v>
      </c>
      <c r="S102" s="65">
        <v>129</v>
      </c>
      <c r="T102" s="65">
        <v>124.3</v>
      </c>
      <c r="U102" s="65">
        <v>126</v>
      </c>
      <c r="V102" s="65">
        <v>131.1</v>
      </c>
      <c r="W102" s="65">
        <v>130.6</v>
      </c>
      <c r="X102" s="65">
        <v>131.4</v>
      </c>
      <c r="Y102" s="65">
        <v>128.5</v>
      </c>
      <c r="Z102" s="65">
        <v>129.69999999999999</v>
      </c>
      <c r="AA102" s="65">
        <v>129.80000000000001</v>
      </c>
      <c r="AB102" s="65">
        <v>129.80000000000001</v>
      </c>
      <c r="AC102" s="65"/>
      <c r="AD102" s="65">
        <v>130</v>
      </c>
      <c r="AE102" s="65">
        <v>130</v>
      </c>
      <c r="AF102" s="65">
        <v>130</v>
      </c>
      <c r="AG102" s="104"/>
      <c r="AH102" s="47">
        <f t="shared" si="9"/>
        <v>132.5</v>
      </c>
      <c r="AI102" s="48">
        <f t="shared" si="10"/>
        <v>124.3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9"/>
        <v>0</v>
      </c>
      <c r="AI103" s="48">
        <f t="shared" si="10"/>
        <v>0</v>
      </c>
    </row>
    <row r="104" spans="1:37" x14ac:dyDescent="0.25">
      <c r="A104" s="105" t="s">
        <v>108</v>
      </c>
      <c r="B104" s="106">
        <v>134.19999999999999</v>
      </c>
      <c r="C104" s="106">
        <v>136</v>
      </c>
      <c r="D104" s="106">
        <v>134.30000000000001</v>
      </c>
      <c r="E104" s="106">
        <v>133.80000000000001</v>
      </c>
      <c r="F104" s="106">
        <v>132.6</v>
      </c>
      <c r="G104" s="106">
        <v>132.69999999999999</v>
      </c>
      <c r="H104" s="106">
        <v>134</v>
      </c>
      <c r="I104" s="106">
        <v>133.19999999999999</v>
      </c>
      <c r="J104" s="106">
        <v>132.30000000000001</v>
      </c>
      <c r="K104" s="106">
        <v>131.5</v>
      </c>
      <c r="L104" s="106">
        <v>133</v>
      </c>
      <c r="M104" s="106">
        <v>132.9</v>
      </c>
      <c r="N104" s="106">
        <v>133.1</v>
      </c>
      <c r="O104" s="106">
        <v>131.19999999999999</v>
      </c>
      <c r="P104" s="106">
        <v>128.9</v>
      </c>
      <c r="Q104" s="106">
        <v>128.9</v>
      </c>
      <c r="R104" s="106">
        <v>134.6</v>
      </c>
      <c r="S104" s="106">
        <v>131</v>
      </c>
      <c r="T104" s="106"/>
      <c r="U104" s="106">
        <v>134.80000000000001</v>
      </c>
      <c r="V104" s="106">
        <v>132.6</v>
      </c>
      <c r="W104" s="106">
        <v>133.6</v>
      </c>
      <c r="X104" s="106">
        <v>136.5</v>
      </c>
      <c r="Y104" s="106">
        <v>130.6</v>
      </c>
      <c r="Z104" s="106">
        <v>135.69999999999999</v>
      </c>
      <c r="AA104" s="106">
        <v>132.30000000000001</v>
      </c>
      <c r="AB104" s="106">
        <v>132.30000000000001</v>
      </c>
      <c r="AC104" s="106"/>
      <c r="AD104" s="106">
        <v>132</v>
      </c>
      <c r="AE104" s="106">
        <v>131.69999999999999</v>
      </c>
      <c r="AF104" s="106">
        <v>133</v>
      </c>
      <c r="AG104" s="107"/>
      <c r="AH104" s="47">
        <f t="shared" si="9"/>
        <v>136.5</v>
      </c>
      <c r="AI104" s="48">
        <f t="shared" si="10"/>
        <v>128.9</v>
      </c>
    </row>
    <row r="105" spans="1:37" x14ac:dyDescent="0.25">
      <c r="A105" s="103" t="s">
        <v>109</v>
      </c>
      <c r="B105" s="65">
        <v>135.5</v>
      </c>
      <c r="C105" s="65">
        <v>137.4</v>
      </c>
      <c r="D105" s="65">
        <v>137.80000000000001</v>
      </c>
      <c r="E105" s="65">
        <v>140</v>
      </c>
      <c r="F105" s="65">
        <v>139</v>
      </c>
      <c r="G105" s="65">
        <v>138.19999999999999</v>
      </c>
      <c r="H105" s="65">
        <v>137</v>
      </c>
      <c r="I105" s="65">
        <v>136.6</v>
      </c>
      <c r="J105" s="65">
        <v>136</v>
      </c>
      <c r="K105" s="65">
        <v>129.6</v>
      </c>
      <c r="L105" s="65">
        <v>127.4</v>
      </c>
      <c r="M105" s="65">
        <v>127.8</v>
      </c>
      <c r="N105" s="65">
        <v>127</v>
      </c>
      <c r="O105" s="65">
        <v>128</v>
      </c>
      <c r="P105" s="65">
        <v>128.4</v>
      </c>
      <c r="Q105" s="65">
        <v>128.4</v>
      </c>
      <c r="R105" s="65">
        <v>133.5</v>
      </c>
      <c r="S105" s="65">
        <v>132</v>
      </c>
      <c r="T105" s="65">
        <v>130.4</v>
      </c>
      <c r="U105" s="65">
        <v>131.6</v>
      </c>
      <c r="V105" s="65">
        <v>132.1</v>
      </c>
      <c r="W105" s="65">
        <v>132.19999999999999</v>
      </c>
      <c r="X105" s="65">
        <v>134.5</v>
      </c>
      <c r="Y105" s="65">
        <v>132.4</v>
      </c>
      <c r="Z105" s="65">
        <v>132.9</v>
      </c>
      <c r="AA105" s="65">
        <v>130.30000000000001</v>
      </c>
      <c r="AB105" s="65">
        <v>130.30000000000001</v>
      </c>
      <c r="AC105" s="65"/>
      <c r="AD105" s="65">
        <v>132.69999999999999</v>
      </c>
      <c r="AE105" s="65">
        <v>132.6</v>
      </c>
      <c r="AF105" s="65">
        <v>133</v>
      </c>
      <c r="AG105" s="104"/>
      <c r="AH105" s="47">
        <f t="shared" si="9"/>
        <v>140</v>
      </c>
      <c r="AI105" s="48">
        <f t="shared" si="10"/>
        <v>127</v>
      </c>
    </row>
    <row r="106" spans="1:37" ht="15.75" thickBot="1" x14ac:dyDescent="0.3">
      <c r="A106" s="103" t="s">
        <v>110</v>
      </c>
      <c r="B106" s="92">
        <v>66.7</v>
      </c>
      <c r="C106" s="92">
        <v>66.8</v>
      </c>
      <c r="D106" s="92">
        <v>67.3</v>
      </c>
      <c r="E106" s="92">
        <v>67.400000000000006</v>
      </c>
      <c r="F106" s="92">
        <v>66.7</v>
      </c>
      <c r="G106" s="92">
        <v>66.5</v>
      </c>
      <c r="H106" s="92">
        <v>66</v>
      </c>
      <c r="I106" s="92">
        <v>65</v>
      </c>
      <c r="J106" s="92">
        <v>64.099999999999994</v>
      </c>
      <c r="K106" s="92">
        <v>64.2</v>
      </c>
      <c r="L106" s="92">
        <v>65</v>
      </c>
      <c r="M106" s="92">
        <v>65.3</v>
      </c>
      <c r="N106" s="92">
        <v>65.599999999999994</v>
      </c>
      <c r="O106" s="92">
        <v>64.5</v>
      </c>
      <c r="P106" s="92">
        <v>64.099999999999994</v>
      </c>
      <c r="Q106" s="92">
        <v>64.099999999999994</v>
      </c>
      <c r="R106" s="92">
        <v>65</v>
      </c>
      <c r="S106" s="92">
        <v>63.2</v>
      </c>
      <c r="T106" s="92">
        <v>64.5</v>
      </c>
      <c r="U106" s="92">
        <v>64.3</v>
      </c>
      <c r="V106" s="92">
        <v>65</v>
      </c>
      <c r="W106" s="92">
        <v>64.8</v>
      </c>
      <c r="X106" s="92">
        <v>65.2</v>
      </c>
      <c r="Y106" s="92">
        <v>64.5</v>
      </c>
      <c r="Z106" s="92">
        <v>65.2</v>
      </c>
      <c r="AA106" s="92">
        <v>65.3</v>
      </c>
      <c r="AB106" s="92">
        <v>65.3</v>
      </c>
      <c r="AC106" s="92"/>
      <c r="AD106" s="92">
        <v>66.5</v>
      </c>
      <c r="AE106" s="92">
        <v>66.599999999999994</v>
      </c>
      <c r="AF106" s="92">
        <v>66.400000000000006</v>
      </c>
      <c r="AG106" s="108"/>
      <c r="AH106" s="47">
        <f t="shared" si="9"/>
        <v>67.400000000000006</v>
      </c>
      <c r="AI106" s="48">
        <f t="shared" si="10"/>
        <v>63.2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9"/>
        <v>0</v>
      </c>
      <c r="AI107" s="48">
        <f t="shared" si="10"/>
        <v>0</v>
      </c>
    </row>
    <row r="108" spans="1:37" ht="15.75" thickBot="1" x14ac:dyDescent="0.3">
      <c r="A108" s="110" t="s">
        <v>112</v>
      </c>
      <c r="B108" s="111">
        <f t="shared" ref="B108:AF108" si="16">SUM(B18,B24,B27:B28,B56,B58:B59,B61,B63,B109:B113,B135,B141,B147,B156,B158,B170,B177,B180:B181,B188,B190,B192,B196:B198,B200:B202,B207,B213:B214,B216:B218,B226,B231)</f>
        <v>133.70000000000002</v>
      </c>
      <c r="C108" s="111">
        <f t="shared" si="16"/>
        <v>120.84</v>
      </c>
      <c r="D108" s="111">
        <f t="shared" si="16"/>
        <v>108.03999999999999</v>
      </c>
      <c r="E108" s="111">
        <f t="shared" si="16"/>
        <v>119.94</v>
      </c>
      <c r="F108" s="111">
        <f t="shared" si="16"/>
        <v>117.44</v>
      </c>
      <c r="G108" s="111">
        <f t="shared" si="16"/>
        <v>143.54</v>
      </c>
      <c r="H108" s="111">
        <f t="shared" si="16"/>
        <v>171.94</v>
      </c>
      <c r="I108" s="111">
        <f t="shared" si="16"/>
        <v>214.24</v>
      </c>
      <c r="J108" s="111">
        <f t="shared" si="16"/>
        <v>266.94</v>
      </c>
      <c r="K108" s="111">
        <f t="shared" si="16"/>
        <v>277.94</v>
      </c>
      <c r="L108" s="111">
        <f t="shared" si="16"/>
        <v>340.74</v>
      </c>
      <c r="M108" s="111">
        <f t="shared" si="16"/>
        <v>328.74</v>
      </c>
      <c r="N108" s="111">
        <f t="shared" si="16"/>
        <v>335.94</v>
      </c>
      <c r="O108" s="111">
        <f t="shared" si="16"/>
        <v>276.74</v>
      </c>
      <c r="P108" s="111">
        <v>42</v>
      </c>
      <c r="Q108" s="111">
        <f t="shared" si="16"/>
        <v>254.2</v>
      </c>
      <c r="R108" s="111">
        <f t="shared" si="16"/>
        <v>243.29999999999998</v>
      </c>
      <c r="S108" s="111">
        <f t="shared" si="16"/>
        <v>241.4</v>
      </c>
      <c r="T108" s="111">
        <f t="shared" si="16"/>
        <v>249.60000000000002</v>
      </c>
      <c r="U108" s="111">
        <f t="shared" si="16"/>
        <v>271.7</v>
      </c>
      <c r="V108" s="111">
        <f t="shared" si="16"/>
        <v>264.3</v>
      </c>
      <c r="W108" s="111">
        <f t="shared" si="16"/>
        <v>286.39999999999998</v>
      </c>
      <c r="X108" s="111">
        <f t="shared" si="16"/>
        <v>311.3</v>
      </c>
      <c r="Y108" s="111">
        <f t="shared" si="16"/>
        <v>362.7</v>
      </c>
      <c r="Z108" s="111">
        <f t="shared" si="16"/>
        <v>365.3</v>
      </c>
      <c r="AA108" s="111">
        <f t="shared" si="16"/>
        <v>350.7</v>
      </c>
      <c r="AB108" s="111">
        <f t="shared" si="16"/>
        <v>350.7</v>
      </c>
      <c r="AC108" s="111">
        <f t="shared" si="16"/>
        <v>87.5</v>
      </c>
      <c r="AD108" s="111">
        <f t="shared" si="16"/>
        <v>235.7</v>
      </c>
      <c r="AE108" s="111">
        <f t="shared" si="16"/>
        <v>190.5</v>
      </c>
      <c r="AF108" s="111">
        <f t="shared" si="16"/>
        <v>139.5</v>
      </c>
      <c r="AG108" s="112"/>
      <c r="AH108" s="47">
        <f t="shared" si="9"/>
        <v>365.3</v>
      </c>
      <c r="AI108" s="48">
        <f t="shared" si="10"/>
        <v>42</v>
      </c>
    </row>
    <row r="109" spans="1:37" x14ac:dyDescent="0.25">
      <c r="A109" s="100" t="s">
        <v>113</v>
      </c>
      <c r="B109" s="113">
        <v>-15.6</v>
      </c>
      <c r="C109" s="113">
        <v>-10.8</v>
      </c>
      <c r="D109" s="113">
        <v>-14.8</v>
      </c>
      <c r="E109" s="113">
        <v>-3.2</v>
      </c>
      <c r="F109" s="113">
        <v>-7</v>
      </c>
      <c r="G109" s="113">
        <v>0</v>
      </c>
      <c r="H109" s="113">
        <v>-0.8</v>
      </c>
      <c r="I109" s="113">
        <v>12</v>
      </c>
      <c r="J109" s="113">
        <v>24.5</v>
      </c>
      <c r="K109" s="113">
        <v>26.3</v>
      </c>
      <c r="L109" s="113">
        <v>35.1</v>
      </c>
      <c r="M109" s="113">
        <v>31.6</v>
      </c>
      <c r="N109" s="113">
        <v>33.4</v>
      </c>
      <c r="O109" s="113">
        <v>13.2</v>
      </c>
      <c r="P109" s="113">
        <v>3.8</v>
      </c>
      <c r="Q109" s="113">
        <v>3.8</v>
      </c>
      <c r="R109" s="113">
        <v>9.4</v>
      </c>
      <c r="S109" s="113">
        <v>8.1999999999999993</v>
      </c>
      <c r="T109" s="113">
        <v>5.4</v>
      </c>
      <c r="U109" s="113">
        <v>0</v>
      </c>
      <c r="V109" s="113">
        <v>6.1</v>
      </c>
      <c r="W109" s="113">
        <v>6.6</v>
      </c>
      <c r="X109" s="113">
        <v>13.9</v>
      </c>
      <c r="Y109" s="113">
        <v>18.899999999999999</v>
      </c>
      <c r="Z109" s="113">
        <v>20.399999999999999</v>
      </c>
      <c r="AA109" s="113">
        <v>11.8</v>
      </c>
      <c r="AB109" s="113">
        <v>11.8</v>
      </c>
      <c r="AC109" s="113"/>
      <c r="AD109" s="113">
        <v>7.1</v>
      </c>
      <c r="AE109" s="113">
        <v>-4</v>
      </c>
      <c r="AF109" s="113">
        <v>-10</v>
      </c>
      <c r="AG109" s="114">
        <v>75</v>
      </c>
      <c r="AH109" s="47">
        <f t="shared" si="9"/>
        <v>35.1</v>
      </c>
      <c r="AI109" s="48">
        <f t="shared" si="10"/>
        <v>-15.6</v>
      </c>
    </row>
    <row r="110" spans="1:37" x14ac:dyDescent="0.25">
      <c r="A110" s="103" t="s">
        <v>114</v>
      </c>
      <c r="B110" s="115">
        <v>-23.9</v>
      </c>
      <c r="C110" s="115">
        <v>-16.5</v>
      </c>
      <c r="D110" s="115">
        <v>-22.3</v>
      </c>
      <c r="E110" s="115">
        <v>-9.1999999999999993</v>
      </c>
      <c r="F110" s="115">
        <v>-13</v>
      </c>
      <c r="G110" s="115">
        <v>-0.7</v>
      </c>
      <c r="H110" s="115">
        <v>-3.3</v>
      </c>
      <c r="I110" s="115">
        <v>13</v>
      </c>
      <c r="J110" s="115">
        <v>32</v>
      </c>
      <c r="K110" s="115">
        <v>41.2</v>
      </c>
      <c r="L110" s="115">
        <v>43</v>
      </c>
      <c r="M110" s="115">
        <v>39.700000000000003</v>
      </c>
      <c r="N110" s="115">
        <v>43.1</v>
      </c>
      <c r="O110" s="115">
        <v>14.2</v>
      </c>
      <c r="P110" s="115">
        <v>5.0999999999999996</v>
      </c>
      <c r="Q110" s="115">
        <v>5.0999999999999996</v>
      </c>
      <c r="R110" s="115">
        <v>6.1</v>
      </c>
      <c r="S110" s="115">
        <v>17</v>
      </c>
      <c r="T110" s="115">
        <v>12</v>
      </c>
      <c r="U110" s="115">
        <v>-1.1000000000000001</v>
      </c>
      <c r="V110" s="115">
        <v>5.2</v>
      </c>
      <c r="W110" s="115">
        <v>0.9</v>
      </c>
      <c r="X110" s="115">
        <v>8.3000000000000007</v>
      </c>
      <c r="Y110" s="115">
        <v>14.1</v>
      </c>
      <c r="Z110" s="115">
        <v>17.399999999999999</v>
      </c>
      <c r="AA110" s="115">
        <v>5.4</v>
      </c>
      <c r="AB110" s="115">
        <v>5.4</v>
      </c>
      <c r="AC110" s="115"/>
      <c r="AD110" s="115">
        <v>6.1</v>
      </c>
      <c r="AE110" s="115">
        <v>-8</v>
      </c>
      <c r="AF110" s="115">
        <v>-16</v>
      </c>
      <c r="AG110" s="114">
        <v>240</v>
      </c>
      <c r="AH110" s="47">
        <f t="shared" si="9"/>
        <v>43.1</v>
      </c>
      <c r="AI110" s="48">
        <f t="shared" si="10"/>
        <v>-23.9</v>
      </c>
    </row>
    <row r="111" spans="1:37" x14ac:dyDescent="0.25">
      <c r="A111" s="103" t="s">
        <v>115</v>
      </c>
      <c r="B111" s="115">
        <v>-7</v>
      </c>
      <c r="C111" s="115">
        <v>-19</v>
      </c>
      <c r="D111" s="115">
        <v>-19</v>
      </c>
      <c r="E111" s="115">
        <v>-28</v>
      </c>
      <c r="F111" s="115">
        <v>-24</v>
      </c>
      <c r="G111" s="115">
        <v>-24</v>
      </c>
      <c r="H111" s="115">
        <v>-11</v>
      </c>
      <c r="I111" s="115">
        <v>-13</v>
      </c>
      <c r="J111" s="115">
        <v>-5</v>
      </c>
      <c r="K111" s="115">
        <v>-5</v>
      </c>
      <c r="L111" s="115">
        <v>24</v>
      </c>
      <c r="M111" s="115">
        <v>14.1</v>
      </c>
      <c r="N111" s="115">
        <v>14.1</v>
      </c>
      <c r="O111" s="115">
        <v>32</v>
      </c>
      <c r="P111" s="115">
        <v>16.8</v>
      </c>
      <c r="Q111" s="115">
        <v>16.8</v>
      </c>
      <c r="R111" s="115">
        <v>18</v>
      </c>
      <c r="S111" s="115">
        <v>15</v>
      </c>
      <c r="T111" s="115">
        <v>19</v>
      </c>
      <c r="U111" s="115">
        <v>39</v>
      </c>
      <c r="V111" s="115">
        <v>30</v>
      </c>
      <c r="W111" s="115">
        <v>52</v>
      </c>
      <c r="X111" s="115">
        <v>70</v>
      </c>
      <c r="Y111" s="115">
        <v>73</v>
      </c>
      <c r="Z111" s="115">
        <v>65</v>
      </c>
      <c r="AA111" s="115">
        <v>80</v>
      </c>
      <c r="AB111" s="115">
        <v>80</v>
      </c>
      <c r="AC111" s="115"/>
      <c r="AD111" s="115">
        <v>28</v>
      </c>
      <c r="AE111" s="115">
        <v>15</v>
      </c>
      <c r="AF111" s="115">
        <v>-2</v>
      </c>
      <c r="AG111" s="114">
        <v>240</v>
      </c>
      <c r="AH111" s="47">
        <f t="shared" si="9"/>
        <v>80</v>
      </c>
      <c r="AI111" s="48">
        <f t="shared" si="10"/>
        <v>-28</v>
      </c>
    </row>
    <row r="112" spans="1:37" x14ac:dyDescent="0.25">
      <c r="A112" s="103" t="s">
        <v>116</v>
      </c>
      <c r="B112" s="115">
        <v>3.7</v>
      </c>
      <c r="C112" s="115">
        <v>2.6</v>
      </c>
      <c r="D112" s="115">
        <v>-0.6</v>
      </c>
      <c r="E112" s="115">
        <v>0.7</v>
      </c>
      <c r="F112" s="115">
        <v>-3.2</v>
      </c>
      <c r="G112" s="115">
        <v>0.6</v>
      </c>
      <c r="H112" s="115">
        <v>4.4000000000000004</v>
      </c>
      <c r="I112" s="115">
        <v>3.6</v>
      </c>
      <c r="J112" s="115">
        <v>7.8</v>
      </c>
      <c r="K112" s="115">
        <v>7.8</v>
      </c>
      <c r="L112" s="115">
        <v>34</v>
      </c>
      <c r="M112" s="115">
        <v>30</v>
      </c>
      <c r="N112" s="115">
        <v>30</v>
      </c>
      <c r="O112" s="115">
        <v>33</v>
      </c>
      <c r="P112" s="115">
        <v>33.200000000000003</v>
      </c>
      <c r="Q112" s="115">
        <v>33.200000000000003</v>
      </c>
      <c r="R112" s="115">
        <v>19.5</v>
      </c>
      <c r="S112" s="115">
        <v>8</v>
      </c>
      <c r="T112" s="115">
        <v>25</v>
      </c>
      <c r="U112" s="115">
        <v>46.6</v>
      </c>
      <c r="V112" s="115">
        <v>45.5</v>
      </c>
      <c r="W112" s="115">
        <v>35</v>
      </c>
      <c r="X112" s="115">
        <v>44.1</v>
      </c>
      <c r="Y112" s="115">
        <v>52.2</v>
      </c>
      <c r="Z112" s="115">
        <v>59</v>
      </c>
      <c r="AA112" s="115">
        <v>57</v>
      </c>
      <c r="AB112" s="115">
        <v>57</v>
      </c>
      <c r="AC112" s="115"/>
      <c r="AD112" s="115">
        <v>20</v>
      </c>
      <c r="AE112" s="115">
        <v>7</v>
      </c>
      <c r="AF112" s="115">
        <v>0</v>
      </c>
      <c r="AG112" s="114">
        <v>60</v>
      </c>
      <c r="AH112" s="47">
        <f t="shared" si="9"/>
        <v>59</v>
      </c>
      <c r="AI112" s="48">
        <f t="shared" si="10"/>
        <v>-3.2</v>
      </c>
    </row>
    <row r="113" spans="1:37" x14ac:dyDescent="0.25">
      <c r="A113" s="116" t="s">
        <v>117</v>
      </c>
      <c r="B113" s="117">
        <v>84.8</v>
      </c>
      <c r="C113" s="117">
        <v>71.900000000000006</v>
      </c>
      <c r="D113" s="117">
        <v>72.099999999999994</v>
      </c>
      <c r="E113" s="117">
        <v>67</v>
      </c>
      <c r="F113" s="117">
        <v>72</v>
      </c>
      <c r="G113" s="117">
        <v>75</v>
      </c>
      <c r="H113" s="117">
        <v>90</v>
      </c>
      <c r="I113" s="117">
        <v>99</v>
      </c>
      <c r="J113" s="117">
        <v>108</v>
      </c>
      <c r="K113" s="117">
        <v>108</v>
      </c>
      <c r="L113" s="117">
        <v>106</v>
      </c>
      <c r="M113" s="117">
        <v>110.7</v>
      </c>
      <c r="N113" s="117">
        <v>110.7</v>
      </c>
      <c r="O113" s="117">
        <v>78.400000000000006</v>
      </c>
      <c r="P113" s="117">
        <v>98.1</v>
      </c>
      <c r="Q113" s="117">
        <v>98.1</v>
      </c>
      <c r="R113" s="117">
        <v>93.1</v>
      </c>
      <c r="S113" s="117">
        <v>96</v>
      </c>
      <c r="T113" s="117">
        <v>91</v>
      </c>
      <c r="U113" s="117">
        <v>94.7</v>
      </c>
      <c r="V113" s="117">
        <v>88.3</v>
      </c>
      <c r="W113" s="117">
        <v>107</v>
      </c>
      <c r="X113" s="117">
        <v>90.1</v>
      </c>
      <c r="Y113" s="117">
        <v>117</v>
      </c>
      <c r="Z113" s="117">
        <v>116</v>
      </c>
      <c r="AA113" s="117">
        <v>109</v>
      </c>
      <c r="AB113" s="117">
        <v>109</v>
      </c>
      <c r="AC113" s="117"/>
      <c r="AD113" s="117">
        <v>87</v>
      </c>
      <c r="AE113" s="117">
        <v>93</v>
      </c>
      <c r="AF113" s="117">
        <v>80</v>
      </c>
      <c r="AG113" s="118">
        <v>120</v>
      </c>
      <c r="AH113" s="47">
        <f t="shared" si="9"/>
        <v>117</v>
      </c>
      <c r="AI113" s="48">
        <f t="shared" si="10"/>
        <v>67</v>
      </c>
    </row>
    <row r="114" spans="1:37" x14ac:dyDescent="0.25">
      <c r="A114" s="116" t="s">
        <v>118</v>
      </c>
      <c r="B114" s="117">
        <v>86.1</v>
      </c>
      <c r="C114" s="117">
        <v>73.400000000000006</v>
      </c>
      <c r="D114" s="117">
        <v>72.2</v>
      </c>
      <c r="E114" s="117">
        <v>72</v>
      </c>
      <c r="F114" s="117">
        <v>77</v>
      </c>
      <c r="G114" s="117">
        <v>80</v>
      </c>
      <c r="H114" s="117">
        <v>92</v>
      </c>
      <c r="I114" s="117">
        <v>91</v>
      </c>
      <c r="J114" s="117">
        <v>79</v>
      </c>
      <c r="K114" s="117">
        <v>79</v>
      </c>
      <c r="L114" s="117">
        <v>86</v>
      </c>
      <c r="M114" s="117">
        <v>75.3</v>
      </c>
      <c r="N114" s="117">
        <v>75.3</v>
      </c>
      <c r="O114" s="117">
        <v>84.8</v>
      </c>
      <c r="P114" s="117">
        <v>80.599999999999994</v>
      </c>
      <c r="Q114" s="117">
        <v>80.599999999999994</v>
      </c>
      <c r="R114" s="117">
        <v>69.3</v>
      </c>
      <c r="S114" s="117">
        <v>82</v>
      </c>
      <c r="T114" s="117">
        <v>75</v>
      </c>
      <c r="U114" s="117">
        <v>74</v>
      </c>
      <c r="V114" s="117">
        <v>67</v>
      </c>
      <c r="W114" s="117">
        <v>87</v>
      </c>
      <c r="X114" s="117">
        <v>98</v>
      </c>
      <c r="Y114" s="117">
        <v>94</v>
      </c>
      <c r="Z114" s="117">
        <v>77</v>
      </c>
      <c r="AA114" s="117">
        <v>93</v>
      </c>
      <c r="AB114" s="117">
        <v>93</v>
      </c>
      <c r="AC114" s="117"/>
      <c r="AD114" s="117">
        <v>73</v>
      </c>
      <c r="AE114" s="117">
        <v>80</v>
      </c>
      <c r="AF114" s="117">
        <v>72</v>
      </c>
      <c r="AG114" s="118"/>
      <c r="AH114" s="47">
        <f t="shared" si="9"/>
        <v>98</v>
      </c>
      <c r="AI114" s="48">
        <f t="shared" si="10"/>
        <v>67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>
        <v>26.2</v>
      </c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>
        <v>90</v>
      </c>
      <c r="AG115" s="119"/>
      <c r="AH115" s="47">
        <f t="shared" si="9"/>
        <v>90</v>
      </c>
      <c r="AI115" s="48">
        <f t="shared" si="10"/>
        <v>26.2</v>
      </c>
    </row>
    <row r="116" spans="1:37" x14ac:dyDescent="0.25">
      <c r="A116" s="120" t="s">
        <v>120</v>
      </c>
      <c r="B116" s="106">
        <v>17.8</v>
      </c>
      <c r="C116" s="106">
        <v>19.7</v>
      </c>
      <c r="D116" s="106">
        <v>24.2</v>
      </c>
      <c r="E116" s="106">
        <v>23</v>
      </c>
      <c r="F116" s="106">
        <v>22</v>
      </c>
      <c r="G116" s="106">
        <v>2</v>
      </c>
      <c r="H116" s="106">
        <v>3.6</v>
      </c>
      <c r="I116" s="106">
        <v>-11</v>
      </c>
      <c r="J116" s="106">
        <v>-29</v>
      </c>
      <c r="K116" s="106">
        <v>-29</v>
      </c>
      <c r="L116" s="106">
        <v>-48</v>
      </c>
      <c r="M116" s="106">
        <v>-64.900000000000006</v>
      </c>
      <c r="N116" s="106">
        <v>-64.900000000000006</v>
      </c>
      <c r="O116" s="106">
        <v>-39.1</v>
      </c>
      <c r="P116" s="106">
        <v>-32.5</v>
      </c>
      <c r="Q116" s="106">
        <v>-32.5</v>
      </c>
      <c r="R116" s="106">
        <v>-24.4</v>
      </c>
      <c r="S116" s="106">
        <v>-33</v>
      </c>
      <c r="T116" s="106">
        <v>-33</v>
      </c>
      <c r="U116" s="106">
        <v>-46.1</v>
      </c>
      <c r="V116" s="106">
        <v>49</v>
      </c>
      <c r="W116" s="106">
        <v>-63</v>
      </c>
      <c r="X116" s="106">
        <v>-74</v>
      </c>
      <c r="Y116" s="106">
        <v>-80</v>
      </c>
      <c r="Z116" s="106">
        <v>-65</v>
      </c>
      <c r="AA116" s="106">
        <v>-57</v>
      </c>
      <c r="AB116" s="106">
        <v>-57</v>
      </c>
      <c r="AC116" s="106"/>
      <c r="AD116" s="106">
        <v>-22</v>
      </c>
      <c r="AE116" s="106">
        <v>-10</v>
      </c>
      <c r="AF116" s="106">
        <v>-2</v>
      </c>
      <c r="AG116" s="119"/>
      <c r="AH116" s="47">
        <f t="shared" si="9"/>
        <v>49</v>
      </c>
      <c r="AI116" s="48">
        <f t="shared" si="10"/>
        <v>-80</v>
      </c>
    </row>
    <row r="117" spans="1:37" ht="15.75" thickBot="1" x14ac:dyDescent="0.3">
      <c r="A117" s="120" t="s">
        <v>121</v>
      </c>
      <c r="B117" s="106">
        <v>64.7</v>
      </c>
      <c r="C117" s="106">
        <v>62.4</v>
      </c>
      <c r="D117" s="106">
        <v>56.6</v>
      </c>
      <c r="E117" s="106">
        <v>58</v>
      </c>
      <c r="F117" s="106">
        <v>57</v>
      </c>
      <c r="G117" s="106">
        <v>64</v>
      </c>
      <c r="H117" s="106">
        <v>63</v>
      </c>
      <c r="I117" s="106">
        <v>56</v>
      </c>
      <c r="J117" s="106">
        <v>74</v>
      </c>
      <c r="K117" s="106">
        <v>74</v>
      </c>
      <c r="L117" s="106">
        <v>72</v>
      </c>
      <c r="M117" s="106">
        <v>70.599999999999994</v>
      </c>
      <c r="N117" s="106">
        <v>70.599999999999994</v>
      </c>
      <c r="O117" s="106">
        <v>42.3</v>
      </c>
      <c r="P117" s="106">
        <v>75.2</v>
      </c>
      <c r="Q117" s="106">
        <v>75.2</v>
      </c>
      <c r="R117" s="106">
        <v>87.3</v>
      </c>
      <c r="S117" s="106">
        <v>83</v>
      </c>
      <c r="T117" s="106">
        <v>92</v>
      </c>
      <c r="U117" s="106">
        <v>89.7</v>
      </c>
      <c r="V117" s="106">
        <v>82.9</v>
      </c>
      <c r="W117" s="106">
        <v>70</v>
      </c>
      <c r="X117" s="106">
        <v>76</v>
      </c>
      <c r="Y117" s="106">
        <v>88</v>
      </c>
      <c r="Z117" s="106">
        <v>80</v>
      </c>
      <c r="AA117" s="106">
        <v>78</v>
      </c>
      <c r="AB117" s="106">
        <v>78</v>
      </c>
      <c r="AC117" s="106"/>
      <c r="AD117" s="106">
        <v>75</v>
      </c>
      <c r="AE117" s="106">
        <v>75</v>
      </c>
      <c r="AF117" s="106">
        <v>67</v>
      </c>
      <c r="AG117" s="119"/>
      <c r="AH117" s="47">
        <f t="shared" si="9"/>
        <v>92</v>
      </c>
      <c r="AI117" s="48">
        <f t="shared" si="10"/>
        <v>42.3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17">SUM(B119:B223)</f>
        <v>0</v>
      </c>
      <c r="C224" s="136">
        <f t="shared" si="17"/>
        <v>0</v>
      </c>
      <c r="D224" s="136">
        <f t="shared" si="17"/>
        <v>0</v>
      </c>
      <c r="E224" s="136">
        <f t="shared" si="17"/>
        <v>0</v>
      </c>
      <c r="F224" s="136">
        <f t="shared" si="17"/>
        <v>0</v>
      </c>
      <c r="G224" s="136">
        <f t="shared" si="17"/>
        <v>0</v>
      </c>
      <c r="H224" s="136">
        <f t="shared" si="17"/>
        <v>0</v>
      </c>
      <c r="I224" s="136">
        <f t="shared" si="17"/>
        <v>0</v>
      </c>
      <c r="J224" s="136">
        <f t="shared" si="17"/>
        <v>0</v>
      </c>
      <c r="K224" s="136">
        <f t="shared" si="17"/>
        <v>0</v>
      </c>
      <c r="L224" s="136">
        <f t="shared" si="17"/>
        <v>0</v>
      </c>
      <c r="M224" s="136">
        <f t="shared" si="17"/>
        <v>0</v>
      </c>
      <c r="N224" s="136">
        <f t="shared" si="17"/>
        <v>0</v>
      </c>
      <c r="O224" s="136">
        <f t="shared" si="17"/>
        <v>0</v>
      </c>
      <c r="P224" s="136">
        <f t="shared" si="17"/>
        <v>0</v>
      </c>
      <c r="Q224" s="136">
        <f t="shared" si="17"/>
        <v>0</v>
      </c>
      <c r="R224" s="136">
        <f t="shared" si="17"/>
        <v>0</v>
      </c>
      <c r="S224" s="136">
        <f t="shared" si="17"/>
        <v>0</v>
      </c>
      <c r="T224" s="136">
        <f t="shared" si="17"/>
        <v>0</v>
      </c>
      <c r="U224" s="136">
        <f t="shared" si="17"/>
        <v>0</v>
      </c>
      <c r="V224" s="136">
        <f t="shared" si="17"/>
        <v>0</v>
      </c>
      <c r="W224" s="136">
        <f t="shared" si="17"/>
        <v>0</v>
      </c>
      <c r="X224" s="136">
        <f t="shared" si="17"/>
        <v>0</v>
      </c>
      <c r="Y224" s="136">
        <f t="shared" si="17"/>
        <v>0</v>
      </c>
      <c r="Z224" s="136">
        <f t="shared" si="17"/>
        <v>0</v>
      </c>
      <c r="AA224" s="136">
        <f t="shared" si="17"/>
        <v>0</v>
      </c>
      <c r="AB224" s="136">
        <f t="shared" si="17"/>
        <v>0</v>
      </c>
      <c r="AC224" s="136">
        <f t="shared" si="17"/>
        <v>0</v>
      </c>
      <c r="AD224" s="136">
        <f t="shared" si="17"/>
        <v>0</v>
      </c>
      <c r="AE224" s="136">
        <f t="shared" si="17"/>
        <v>0</v>
      </c>
      <c r="AF224" s="137">
        <f t="shared" si="17"/>
        <v>0</v>
      </c>
      <c r="AG224" s="138">
        <f t="shared" si="1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18">AF226</f>
        <v>0</v>
      </c>
      <c r="C226" s="140">
        <v>0.3</v>
      </c>
      <c r="D226" s="140">
        <f t="shared" ref="D226:P231" si="19">C226</f>
        <v>0.3</v>
      </c>
      <c r="E226" s="140">
        <f t="shared" si="19"/>
        <v>0.3</v>
      </c>
      <c r="F226" s="140">
        <f t="shared" si="19"/>
        <v>0.3</v>
      </c>
      <c r="G226" s="140">
        <f t="shared" si="19"/>
        <v>0.3</v>
      </c>
      <c r="H226" s="140">
        <f t="shared" si="19"/>
        <v>0.3</v>
      </c>
      <c r="I226" s="140">
        <f t="shared" si="19"/>
        <v>0.3</v>
      </c>
      <c r="J226" s="140">
        <f t="shared" si="19"/>
        <v>0.3</v>
      </c>
      <c r="K226" s="140">
        <f t="shared" si="19"/>
        <v>0.3</v>
      </c>
      <c r="L226" s="140">
        <f t="shared" si="19"/>
        <v>0.3</v>
      </c>
      <c r="M226" s="140">
        <f t="shared" si="19"/>
        <v>0.3</v>
      </c>
      <c r="N226" s="140">
        <f t="shared" si="19"/>
        <v>0.3</v>
      </c>
      <c r="O226" s="140">
        <f t="shared" si="19"/>
        <v>0.3</v>
      </c>
      <c r="P226" s="140">
        <f t="shared" si="1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18"/>
        <v>0</v>
      </c>
      <c r="C227" s="128">
        <v>0.4</v>
      </c>
      <c r="D227" s="128">
        <f t="shared" si="19"/>
        <v>0.4</v>
      </c>
      <c r="E227" s="128">
        <f t="shared" si="19"/>
        <v>0.4</v>
      </c>
      <c r="F227" s="128">
        <f t="shared" si="19"/>
        <v>0.4</v>
      </c>
      <c r="G227" s="128">
        <f t="shared" si="19"/>
        <v>0.4</v>
      </c>
      <c r="H227" s="128">
        <f t="shared" si="19"/>
        <v>0.4</v>
      </c>
      <c r="I227" s="128">
        <f t="shared" si="19"/>
        <v>0.4</v>
      </c>
      <c r="J227" s="128">
        <f t="shared" si="19"/>
        <v>0.4</v>
      </c>
      <c r="K227" s="128">
        <f t="shared" si="19"/>
        <v>0.4</v>
      </c>
      <c r="L227" s="128">
        <f t="shared" si="19"/>
        <v>0.4</v>
      </c>
      <c r="M227" s="128">
        <f t="shared" si="19"/>
        <v>0.4</v>
      </c>
      <c r="N227" s="128">
        <f t="shared" si="19"/>
        <v>0.4</v>
      </c>
      <c r="O227" s="128">
        <f t="shared" si="19"/>
        <v>0.4</v>
      </c>
      <c r="P227" s="128">
        <f t="shared" si="1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18"/>
        <v>0</v>
      </c>
      <c r="C228" s="128">
        <v>1.5</v>
      </c>
      <c r="D228" s="128">
        <f t="shared" si="19"/>
        <v>1.5</v>
      </c>
      <c r="E228" s="128">
        <f t="shared" si="19"/>
        <v>1.5</v>
      </c>
      <c r="F228" s="128">
        <f t="shared" si="19"/>
        <v>1.5</v>
      </c>
      <c r="G228" s="128">
        <f t="shared" si="19"/>
        <v>1.5</v>
      </c>
      <c r="H228" s="128">
        <f t="shared" si="1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19"/>
        <v>1.5</v>
      </c>
      <c r="K228" s="128">
        <f t="shared" ca="1" si="19"/>
        <v>1.5</v>
      </c>
      <c r="L228" s="128">
        <f t="shared" ca="1" si="19"/>
        <v>1.5</v>
      </c>
      <c r="M228" s="128">
        <f t="shared" ca="1" si="19"/>
        <v>1.5</v>
      </c>
      <c r="N228" s="128">
        <f t="shared" ca="1" si="19"/>
        <v>1.5</v>
      </c>
      <c r="O228" s="128">
        <f t="shared" ca="1" si="19"/>
        <v>1.5</v>
      </c>
      <c r="P228" s="128">
        <f t="shared" ca="1" si="1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18"/>
        <v>0</v>
      </c>
      <c r="C229" s="128">
        <v>0.3</v>
      </c>
      <c r="D229" s="128">
        <f t="shared" si="19"/>
        <v>0.3</v>
      </c>
      <c r="E229" s="128">
        <f t="shared" si="19"/>
        <v>0.3</v>
      </c>
      <c r="F229" s="128">
        <f t="shared" si="19"/>
        <v>0.3</v>
      </c>
      <c r="G229" s="128">
        <f t="shared" si="19"/>
        <v>0.3</v>
      </c>
      <c r="H229" s="128">
        <f t="shared" si="19"/>
        <v>0.3</v>
      </c>
      <c r="I229" s="128">
        <f t="shared" si="19"/>
        <v>0.3</v>
      </c>
      <c r="J229" s="128">
        <f t="shared" si="19"/>
        <v>0.3</v>
      </c>
      <c r="K229" s="128">
        <f t="shared" si="19"/>
        <v>0.3</v>
      </c>
      <c r="L229" s="128">
        <f t="shared" si="19"/>
        <v>0.3</v>
      </c>
      <c r="M229" s="128">
        <f t="shared" si="19"/>
        <v>0.3</v>
      </c>
      <c r="N229" s="128">
        <f t="shared" si="19"/>
        <v>0.3</v>
      </c>
      <c r="O229" s="128">
        <f t="shared" si="19"/>
        <v>0.3</v>
      </c>
      <c r="P229" s="128">
        <f t="shared" si="1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18"/>
        <v>0</v>
      </c>
      <c r="C231" s="132">
        <v>0.64</v>
      </c>
      <c r="D231" s="132">
        <f t="shared" si="19"/>
        <v>0.64</v>
      </c>
      <c r="E231" s="132">
        <f t="shared" si="19"/>
        <v>0.64</v>
      </c>
      <c r="F231" s="132">
        <f t="shared" si="19"/>
        <v>0.64</v>
      </c>
      <c r="G231" s="132">
        <f t="shared" si="19"/>
        <v>0.64</v>
      </c>
      <c r="H231" s="132">
        <f t="shared" si="19"/>
        <v>0.64</v>
      </c>
      <c r="I231" s="132">
        <f t="shared" si="19"/>
        <v>0.64</v>
      </c>
      <c r="J231" s="132">
        <f t="shared" si="19"/>
        <v>0.64</v>
      </c>
      <c r="K231" s="132">
        <f t="shared" si="19"/>
        <v>0.64</v>
      </c>
      <c r="L231" s="132">
        <f t="shared" si="19"/>
        <v>0.64</v>
      </c>
      <c r="M231" s="132">
        <f t="shared" si="19"/>
        <v>0.64</v>
      </c>
      <c r="N231" s="132">
        <f t="shared" si="19"/>
        <v>0.64</v>
      </c>
      <c r="O231" s="132">
        <f t="shared" si="19"/>
        <v>0.64</v>
      </c>
      <c r="P231" s="132">
        <f t="shared" si="1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0">SUM(B226:B231)</f>
        <v>0</v>
      </c>
      <c r="C232" s="136">
        <f t="shared" si="20"/>
        <v>3.54</v>
      </c>
      <c r="D232" s="136">
        <f t="shared" si="20"/>
        <v>3.54</v>
      </c>
      <c r="E232" s="136">
        <f t="shared" si="20"/>
        <v>3.54</v>
      </c>
      <c r="F232" s="136">
        <f t="shared" si="20"/>
        <v>3.54</v>
      </c>
      <c r="G232" s="136">
        <f t="shared" si="20"/>
        <v>3.54</v>
      </c>
      <c r="H232" s="136">
        <f t="shared" si="20"/>
        <v>3.54</v>
      </c>
      <c r="I232" s="136">
        <f t="shared" ca="1" si="20"/>
        <v>3.54</v>
      </c>
      <c r="J232" s="136">
        <f t="shared" ca="1" si="20"/>
        <v>3.54</v>
      </c>
      <c r="K232" s="136">
        <f t="shared" ca="1" si="20"/>
        <v>3.54</v>
      </c>
      <c r="L232" s="136">
        <f t="shared" ca="1" si="20"/>
        <v>3.54</v>
      </c>
      <c r="M232" s="136">
        <f t="shared" ca="1" si="20"/>
        <v>3.54</v>
      </c>
      <c r="N232" s="136">
        <f t="shared" ca="1" si="20"/>
        <v>3.54</v>
      </c>
      <c r="O232" s="136">
        <f t="shared" ca="1" si="20"/>
        <v>3.54</v>
      </c>
      <c r="P232" s="136">
        <f t="shared" ca="1" si="20"/>
        <v>3.54</v>
      </c>
      <c r="Q232" s="136">
        <f t="shared" si="20"/>
        <v>0</v>
      </c>
      <c r="R232" s="136">
        <f t="shared" si="20"/>
        <v>0</v>
      </c>
      <c r="S232" s="136">
        <f t="shared" si="20"/>
        <v>0</v>
      </c>
      <c r="T232" s="136">
        <f t="shared" si="20"/>
        <v>0</v>
      </c>
      <c r="U232" s="136">
        <f t="shared" si="20"/>
        <v>0</v>
      </c>
      <c r="V232" s="136">
        <f t="shared" si="20"/>
        <v>0</v>
      </c>
      <c r="W232" s="136">
        <f t="shared" si="20"/>
        <v>0</v>
      </c>
      <c r="X232" s="136">
        <f t="shared" si="20"/>
        <v>0</v>
      </c>
      <c r="Y232" s="136">
        <f t="shared" si="20"/>
        <v>0</v>
      </c>
      <c r="Z232" s="136">
        <f t="shared" si="20"/>
        <v>0</v>
      </c>
      <c r="AA232" s="136">
        <f t="shared" si="20"/>
        <v>0</v>
      </c>
      <c r="AB232" s="136">
        <f t="shared" si="20"/>
        <v>0</v>
      </c>
      <c r="AC232" s="136">
        <f t="shared" si="20"/>
        <v>0</v>
      </c>
      <c r="AD232" s="136">
        <f t="shared" si="20"/>
        <v>0</v>
      </c>
      <c r="AE232" s="136">
        <f t="shared" si="20"/>
        <v>0</v>
      </c>
      <c r="AF232" s="136">
        <f t="shared" si="20"/>
        <v>0</v>
      </c>
      <c r="AG232" s="145">
        <f t="shared" si="2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1528.54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16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2079/11/16)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2079/11/16)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1">B89</f>
        <v>1031.74</v>
      </c>
      <c r="U246" s="170">
        <f t="shared" si="21"/>
        <v>992.74</v>
      </c>
      <c r="V246" s="170">
        <f t="shared" si="21"/>
        <v>977.74</v>
      </c>
      <c r="W246" s="170">
        <f t="shared" si="21"/>
        <v>1001.84</v>
      </c>
      <c r="X246" s="170">
        <f t="shared" si="21"/>
        <v>1025.8400000000001</v>
      </c>
      <c r="Y246" s="170">
        <f t="shared" si="21"/>
        <v>1095.3400000000001</v>
      </c>
      <c r="Z246" s="170">
        <f t="shared" si="21"/>
        <v>1152.6399999999999</v>
      </c>
      <c r="AA246" s="170">
        <f t="shared" si="21"/>
        <v>1213.2399999999998</v>
      </c>
      <c r="AB246" s="170">
        <f t="shared" si="21"/>
        <v>1333.24</v>
      </c>
      <c r="AC246" s="170">
        <f t="shared" si="21"/>
        <v>1435.24</v>
      </c>
      <c r="AD246" s="170">
        <f t="shared" si="21"/>
        <v>1469.24</v>
      </c>
      <c r="AE246" s="170">
        <f t="shared" si="21"/>
        <v>1528.54</v>
      </c>
      <c r="AF246" s="170">
        <f t="shared" si="21"/>
        <v>1372.1399999999999</v>
      </c>
      <c r="AG246" s="170">
        <f t="shared" si="21"/>
        <v>1289.6399999999999</v>
      </c>
      <c r="AH246" s="170">
        <f t="shared" si="21"/>
        <v>1318.94</v>
      </c>
      <c r="AI246" s="170">
        <f t="shared" si="21"/>
        <v>1156.04</v>
      </c>
      <c r="AJ246" s="170">
        <f t="shared" si="21"/>
        <v>1105.1399999999999</v>
      </c>
      <c r="AK246" s="170">
        <f t="shared" si="21"/>
        <v>1180.6399999999999</v>
      </c>
      <c r="AL246" s="170">
        <f t="shared" si="21"/>
        <v>1214.24</v>
      </c>
      <c r="AM246" s="170">
        <f t="shared" si="21"/>
        <v>1260.1399999999999</v>
      </c>
      <c r="AN246" s="170">
        <f t="shared" si="21"/>
        <v>1251.24</v>
      </c>
      <c r="AO246" s="170">
        <f t="shared" si="21"/>
        <v>1368.84</v>
      </c>
      <c r="AP246" s="170">
        <f t="shared" si="21"/>
        <v>1440.64</v>
      </c>
      <c r="AQ246" s="170">
        <f t="shared" si="21"/>
        <v>1602.04</v>
      </c>
      <c r="AR246" s="170">
        <f t="shared" si="21"/>
        <v>1539.04</v>
      </c>
      <c r="AS246" s="170">
        <f t="shared" si="21"/>
        <v>1526.74</v>
      </c>
      <c r="AT246" s="170">
        <f t="shared" si="21"/>
        <v>1419.1399999999999</v>
      </c>
      <c r="AU246" s="170">
        <f t="shared" si="21"/>
        <v>1355.94</v>
      </c>
      <c r="AV246" s="170">
        <f t="shared" si="21"/>
        <v>1138.54</v>
      </c>
      <c r="AW246" s="170">
        <f t="shared" si="21"/>
        <v>1081.04</v>
      </c>
      <c r="AX246" s="170">
        <f t="shared" si="21"/>
        <v>1028.04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22">C231</f>
        <v>0.64</v>
      </c>
      <c r="C267" s="173">
        <f t="shared" si="22"/>
        <v>0.64</v>
      </c>
      <c r="D267" s="173">
        <f t="shared" si="22"/>
        <v>0.64</v>
      </c>
      <c r="E267" s="173">
        <f t="shared" si="22"/>
        <v>0.64</v>
      </c>
      <c r="F267" s="173">
        <f t="shared" si="22"/>
        <v>0.64</v>
      </c>
      <c r="G267" s="173">
        <f t="shared" si="22"/>
        <v>0.64</v>
      </c>
      <c r="H267" s="173">
        <f t="shared" si="22"/>
        <v>0.64</v>
      </c>
      <c r="I267" s="173">
        <f t="shared" si="22"/>
        <v>0.64</v>
      </c>
      <c r="J267" s="173">
        <f t="shared" si="22"/>
        <v>0.64</v>
      </c>
      <c r="K267" s="173">
        <f t="shared" si="22"/>
        <v>0.64</v>
      </c>
      <c r="L267" s="173">
        <f t="shared" si="22"/>
        <v>0.64</v>
      </c>
      <c r="M267" s="173">
        <f t="shared" si="22"/>
        <v>0.64</v>
      </c>
      <c r="N267" s="173">
        <f t="shared" si="22"/>
        <v>0.64</v>
      </c>
      <c r="O267" s="173">
        <f t="shared" si="22"/>
        <v>0.64</v>
      </c>
      <c r="P267" s="173">
        <f t="shared" si="22"/>
        <v>0</v>
      </c>
      <c r="Q267" s="173">
        <f t="shared" si="22"/>
        <v>0</v>
      </c>
      <c r="R267" s="173">
        <f t="shared" si="22"/>
        <v>0</v>
      </c>
      <c r="S267" s="173">
        <f t="shared" si="22"/>
        <v>0</v>
      </c>
      <c r="T267" s="173">
        <f t="shared" si="22"/>
        <v>0</v>
      </c>
      <c r="U267" s="173">
        <f t="shared" si="22"/>
        <v>0</v>
      </c>
      <c r="V267" s="173">
        <f t="shared" si="22"/>
        <v>0</v>
      </c>
      <c r="W267" s="173">
        <f t="shared" si="22"/>
        <v>0</v>
      </c>
      <c r="X267" s="173">
        <f t="shared" si="22"/>
        <v>0</v>
      </c>
      <c r="Y267" s="173">
        <f t="shared" si="22"/>
        <v>0</v>
      </c>
      <c r="Z267" s="173">
        <f t="shared" si="22"/>
        <v>0</v>
      </c>
      <c r="AA267" s="173">
        <f t="shared" si="22"/>
        <v>0</v>
      </c>
      <c r="AB267" s="173">
        <f t="shared" si="22"/>
        <v>0</v>
      </c>
      <c r="AC267" s="173">
        <f t="shared" si="22"/>
        <v>0</v>
      </c>
      <c r="AD267" s="173">
        <f t="shared" si="22"/>
        <v>0</v>
      </c>
      <c r="AE267" s="173">
        <f t="shared" si="2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3">IF(B235&lt;100,"",B235-520)</f>
        <v/>
      </c>
      <c r="C268" s="174" t="str">
        <f t="shared" si="23"/>
        <v/>
      </c>
      <c r="D268" s="174" t="str">
        <f t="shared" si="23"/>
        <v/>
      </c>
      <c r="E268" s="174" t="str">
        <f t="shared" si="23"/>
        <v/>
      </c>
      <c r="F268" s="174" t="str">
        <f t="shared" si="23"/>
        <v/>
      </c>
      <c r="G268" s="174" t="str">
        <f t="shared" si="23"/>
        <v/>
      </c>
      <c r="H268" s="174" t="str">
        <f t="shared" si="23"/>
        <v/>
      </c>
      <c r="I268" s="174" t="str">
        <f t="shared" si="23"/>
        <v/>
      </c>
      <c r="J268" s="174" t="str">
        <f t="shared" si="23"/>
        <v/>
      </c>
      <c r="K268" s="174" t="str">
        <f t="shared" si="23"/>
        <v/>
      </c>
      <c r="L268" s="174" t="str">
        <f t="shared" si="23"/>
        <v/>
      </c>
      <c r="M268" s="174" t="str">
        <f t="shared" si="23"/>
        <v/>
      </c>
      <c r="N268" s="174" t="str">
        <f t="shared" si="23"/>
        <v/>
      </c>
      <c r="O268" s="174" t="str">
        <f t="shared" si="23"/>
        <v/>
      </c>
      <c r="P268" s="174" t="str">
        <f t="shared" si="23"/>
        <v/>
      </c>
      <c r="Q268" s="174" t="str">
        <f t="shared" si="23"/>
        <v/>
      </c>
      <c r="R268" s="174" t="str">
        <f t="shared" si="23"/>
        <v/>
      </c>
      <c r="S268" s="174" t="str">
        <f t="shared" si="23"/>
        <v/>
      </c>
      <c r="T268" s="174" t="str">
        <f t="shared" si="23"/>
        <v/>
      </c>
      <c r="U268" s="174" t="str">
        <f t="shared" si="23"/>
        <v/>
      </c>
      <c r="V268" s="174" t="str">
        <f t="shared" si="23"/>
        <v/>
      </c>
      <c r="W268" s="174" t="str">
        <f t="shared" si="23"/>
        <v/>
      </c>
      <c r="X268" s="174" t="str">
        <f t="shared" si="23"/>
        <v/>
      </c>
      <c r="Y268" s="174" t="str">
        <f t="shared" si="23"/>
        <v/>
      </c>
      <c r="Z268" s="174" t="str">
        <f t="shared" si="23"/>
        <v/>
      </c>
      <c r="AA268" s="174" t="str">
        <f t="shared" si="23"/>
        <v/>
      </c>
      <c r="AB268" s="174" t="str">
        <f t="shared" si="23"/>
        <v/>
      </c>
      <c r="AC268" s="174" t="str">
        <f t="shared" si="23"/>
        <v/>
      </c>
      <c r="AD268" s="174" t="str">
        <f t="shared" si="23"/>
        <v/>
      </c>
      <c r="AE268" s="174" t="str">
        <f t="shared" si="23"/>
        <v/>
      </c>
      <c r="AF268" s="174" t="str">
        <f t="shared" si="2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4">IF(B236&lt;100,"",B236-620)</f>
        <v/>
      </c>
      <c r="C269" s="174" t="str">
        <f t="shared" si="24"/>
        <v/>
      </c>
      <c r="D269" s="174" t="str">
        <f t="shared" si="24"/>
        <v/>
      </c>
      <c r="E269" s="174" t="str">
        <f t="shared" si="24"/>
        <v/>
      </c>
      <c r="F269" s="174" t="str">
        <f t="shared" si="24"/>
        <v/>
      </c>
      <c r="G269" s="174" t="str">
        <f t="shared" si="24"/>
        <v/>
      </c>
      <c r="H269" s="174" t="str">
        <f t="shared" si="24"/>
        <v/>
      </c>
      <c r="I269" s="174" t="str">
        <f t="shared" si="24"/>
        <v/>
      </c>
      <c r="J269" s="174" t="str">
        <f t="shared" si="24"/>
        <v/>
      </c>
      <c r="K269" s="174" t="str">
        <f t="shared" si="24"/>
        <v/>
      </c>
      <c r="L269" s="174" t="str">
        <f t="shared" si="24"/>
        <v/>
      </c>
      <c r="M269" s="174" t="str">
        <f t="shared" si="24"/>
        <v/>
      </c>
      <c r="N269" s="174" t="str">
        <f t="shared" si="24"/>
        <v/>
      </c>
      <c r="O269" s="174" t="str">
        <f t="shared" si="24"/>
        <v/>
      </c>
      <c r="P269" s="174" t="str">
        <f t="shared" si="24"/>
        <v/>
      </c>
      <c r="Q269" s="174" t="str">
        <f t="shared" si="24"/>
        <v/>
      </c>
      <c r="R269" s="174" t="str">
        <f t="shared" si="24"/>
        <v/>
      </c>
      <c r="S269" s="174" t="str">
        <f t="shared" si="24"/>
        <v/>
      </c>
      <c r="T269" s="174" t="str">
        <f t="shared" si="24"/>
        <v/>
      </c>
      <c r="U269" s="174" t="str">
        <f t="shared" si="24"/>
        <v/>
      </c>
      <c r="V269" s="174" t="str">
        <f t="shared" si="24"/>
        <v/>
      </c>
      <c r="W269" s="174" t="str">
        <f t="shared" si="24"/>
        <v/>
      </c>
      <c r="X269" s="174" t="str">
        <f t="shared" si="24"/>
        <v/>
      </c>
      <c r="Y269" s="174" t="str">
        <f t="shared" si="24"/>
        <v/>
      </c>
      <c r="Z269" s="174" t="str">
        <f t="shared" si="24"/>
        <v/>
      </c>
      <c r="AA269" s="174" t="str">
        <f t="shared" si="24"/>
        <v/>
      </c>
      <c r="AB269" s="174" t="str">
        <f t="shared" si="24"/>
        <v/>
      </c>
      <c r="AC269" s="174" t="str">
        <f t="shared" si="24"/>
        <v/>
      </c>
      <c r="AD269" s="174" t="str">
        <f t="shared" si="24"/>
        <v/>
      </c>
      <c r="AE269" s="174" t="str">
        <f t="shared" si="24"/>
        <v/>
      </c>
      <c r="AF269" s="174" t="str">
        <f t="shared" si="2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5">IF(B237&lt;100,"",B237-330)</f>
        <v/>
      </c>
      <c r="C270" s="174" t="str">
        <f t="shared" si="25"/>
        <v/>
      </c>
      <c r="D270" s="174" t="str">
        <f t="shared" si="25"/>
        <v/>
      </c>
      <c r="E270" s="174" t="str">
        <f t="shared" si="25"/>
        <v/>
      </c>
      <c r="F270" s="174" t="str">
        <f t="shared" si="25"/>
        <v/>
      </c>
      <c r="G270" s="174" t="str">
        <f t="shared" si="25"/>
        <v/>
      </c>
      <c r="H270" s="174" t="str">
        <f t="shared" si="25"/>
        <v/>
      </c>
      <c r="I270" s="174" t="str">
        <f t="shared" si="25"/>
        <v/>
      </c>
      <c r="J270" s="174" t="str">
        <f t="shared" si="25"/>
        <v/>
      </c>
      <c r="K270" s="174" t="str">
        <f t="shared" si="25"/>
        <v/>
      </c>
      <c r="L270" s="174" t="str">
        <f t="shared" si="25"/>
        <v/>
      </c>
      <c r="M270" s="174" t="str">
        <f t="shared" si="25"/>
        <v/>
      </c>
      <c r="N270" s="174" t="str">
        <f t="shared" si="25"/>
        <v/>
      </c>
      <c r="O270" s="174" t="str">
        <f t="shared" si="25"/>
        <v/>
      </c>
      <c r="P270" s="174" t="str">
        <f t="shared" si="25"/>
        <v/>
      </c>
      <c r="Q270" s="174" t="str">
        <f t="shared" si="25"/>
        <v/>
      </c>
      <c r="R270" s="174" t="str">
        <f t="shared" si="25"/>
        <v/>
      </c>
      <c r="S270" s="174" t="str">
        <f t="shared" si="25"/>
        <v/>
      </c>
      <c r="T270" s="174" t="str">
        <f t="shared" si="25"/>
        <v/>
      </c>
      <c r="U270" s="174" t="str">
        <f t="shared" si="25"/>
        <v/>
      </c>
      <c r="V270" s="174" t="str">
        <f t="shared" si="25"/>
        <v/>
      </c>
      <c r="W270" s="174" t="str">
        <f t="shared" si="25"/>
        <v/>
      </c>
      <c r="X270" s="174" t="str">
        <f t="shared" si="25"/>
        <v/>
      </c>
      <c r="Y270" s="174" t="str">
        <f t="shared" si="25"/>
        <v/>
      </c>
      <c r="Z270" s="174" t="str">
        <f t="shared" si="25"/>
        <v/>
      </c>
      <c r="AA270" s="174" t="str">
        <f t="shared" si="25"/>
        <v/>
      </c>
      <c r="AB270" s="174" t="str">
        <f t="shared" si="25"/>
        <v/>
      </c>
      <c r="AC270" s="174" t="str">
        <f t="shared" si="25"/>
        <v/>
      </c>
      <c r="AD270" s="174" t="str">
        <f t="shared" si="25"/>
        <v/>
      </c>
      <c r="AE270" s="174" t="str">
        <f t="shared" si="25"/>
        <v/>
      </c>
      <c r="AF270" s="174" t="str">
        <f t="shared" si="2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6">IF(B238&lt;100,"",B238-1500)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17:AF32 Y34:AF43 Y45:AF45">
    <cfRule type="expression" dxfId="6989" priority="378">
      <formula>B$9&gt;=20/24</formula>
    </cfRule>
    <cfRule type="expression" dxfId="6988" priority="379">
      <formula>AND(B$9&gt;=14/24,B$9&lt;20/24)</formula>
    </cfRule>
    <cfRule type="expression" dxfId="6987" priority="380">
      <formula>AND(B$9&gt;=8/24,B$9&lt;14/24)</formula>
    </cfRule>
    <cfRule type="expression" dxfId="6986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6985" priority="376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6984" priority="375">
      <formula>$AH12=0</formula>
    </cfRule>
  </conditionalFormatting>
  <conditionalFormatting sqref="A114">
    <cfRule type="expression" dxfId="6983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982" priority="372">
      <formula>$AH45=0</formula>
    </cfRule>
  </conditionalFormatting>
  <conditionalFormatting sqref="A98">
    <cfRule type="expression" dxfId="6981" priority="371">
      <formula>$AH98=0</formula>
    </cfRule>
  </conditionalFormatting>
  <conditionalFormatting sqref="A18">
    <cfRule type="expression" dxfId="6980" priority="370">
      <formula>$AH18=0</formula>
    </cfRule>
  </conditionalFormatting>
  <conditionalFormatting sqref="A196:A201">
    <cfRule type="expression" dxfId="6979" priority="369">
      <formula>$AH196=0</formula>
    </cfRule>
  </conditionalFormatting>
  <conditionalFormatting sqref="A190:A195">
    <cfRule type="expression" dxfId="6978" priority="368">
      <formula>$AH190=0</formula>
    </cfRule>
  </conditionalFormatting>
  <conditionalFormatting sqref="A58">
    <cfRule type="expression" dxfId="6977" priority="367">
      <formula>$AH58=0</formula>
    </cfRule>
  </conditionalFormatting>
  <conditionalFormatting sqref="A94">
    <cfRule type="expression" dxfId="6976" priority="366">
      <formula>$AH94=0</formula>
    </cfRule>
  </conditionalFormatting>
  <conditionalFormatting sqref="E99:X99 AD99:AF99">
    <cfRule type="expression" dxfId="6975" priority="362">
      <formula>E$9&gt;=20/24</formula>
    </cfRule>
    <cfRule type="expression" dxfId="6974" priority="363">
      <formula>AND(E$9&gt;=14/24,E$9&lt;20/24)</formula>
    </cfRule>
    <cfRule type="expression" dxfId="6973" priority="364">
      <formula>AND(E$9&gt;=8/24,E$9&lt;14/24)</formula>
    </cfRule>
    <cfRule type="expression" dxfId="6972" priority="365">
      <formula>E$9&lt;8/24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71" priority="384">
      <formula>C$9&gt;=20/24</formula>
    </cfRule>
    <cfRule type="expression" dxfId="6970" priority="385">
      <formula>AND(C$9&gt;=14/24,C$9&lt;20/24)</formula>
    </cfRule>
    <cfRule type="expression" dxfId="6969" priority="386">
      <formula>AND(C$9&gt;=8/24,C$9&lt;14/24)</formula>
    </cfRule>
    <cfRule type="expression" dxfId="6968" priority="387">
      <formula>C$9&lt;8/24</formula>
    </cfRule>
  </conditionalFormatting>
  <conditionalFormatting sqref="A233">
    <cfRule type="expression" dxfId="6967" priority="388">
      <formula>$AH233=0</formula>
    </cfRule>
  </conditionalFormatting>
  <conditionalFormatting sqref="AG245">
    <cfRule type="expression" dxfId="6966" priority="389">
      <formula>B$9&gt;=20/24</formula>
    </cfRule>
    <cfRule type="expression" dxfId="6965" priority="390">
      <formula>AND(B$9&gt;=14/24,B$9&lt;20/24)</formula>
    </cfRule>
    <cfRule type="expression" dxfId="6964" priority="391">
      <formula>AND(B$9&gt;=8/24,B$9&lt;14/24)</formula>
    </cfRule>
    <cfRule type="expression" dxfId="6963" priority="392">
      <formula>B$9&lt;8/24</formula>
    </cfRule>
  </conditionalFormatting>
  <conditionalFormatting sqref="S8">
    <cfRule type="expression" dxfId="6962" priority="357">
      <formula>U$9&gt;=20/24</formula>
    </cfRule>
    <cfRule type="expression" dxfId="6961" priority="358">
      <formula>AND(U$9&gt;=14/24,U$9&lt;20/24)</formula>
    </cfRule>
    <cfRule type="expression" dxfId="6960" priority="359">
      <formula>AND(U$9&gt;=8/24,U$9&lt;14/24)</formula>
    </cfRule>
    <cfRule type="expression" dxfId="6959" priority="360">
      <formula>U$9&lt;8/24</formula>
    </cfRule>
  </conditionalFormatting>
  <conditionalFormatting sqref="AB8">
    <cfRule type="expression" dxfId="6958" priority="353">
      <formula>AD$9&gt;=20/24</formula>
    </cfRule>
    <cfRule type="expression" dxfId="6957" priority="354">
      <formula>AND(AD$9&gt;=14/24,AD$9&lt;20/24)</formula>
    </cfRule>
    <cfRule type="expression" dxfId="6956" priority="355">
      <formula>AND(AD$9&gt;=8/24,AD$9&lt;14/24)</formula>
    </cfRule>
    <cfRule type="expression" dxfId="6955" priority="356">
      <formula>AD$9&lt;8/24</formula>
    </cfRule>
  </conditionalFormatting>
  <conditionalFormatting sqref="AH245:AX245">
    <cfRule type="expression" dxfId="6954" priority="393">
      <formula>AG$9&gt;=20/24</formula>
    </cfRule>
    <cfRule type="expression" dxfId="6953" priority="394">
      <formula>AND(AG$9&gt;=14/24,AG$9&lt;20/24)</formula>
    </cfRule>
    <cfRule type="expression" dxfId="6952" priority="395">
      <formula>AND(AG$9&gt;=8/24,AG$9&lt;14/24)</formula>
    </cfRule>
    <cfRule type="expression" dxfId="6951" priority="396">
      <formula>AG$9&lt;8/24</formula>
    </cfRule>
  </conditionalFormatting>
  <conditionalFormatting sqref="T245">
    <cfRule type="expression" dxfId="6950" priority="397">
      <formula>AX$9&gt;=20/24</formula>
    </cfRule>
    <cfRule type="expression" dxfId="6949" priority="398">
      <formula>AND(AX$9&gt;=14/24,AX$9&lt;20/24)</formula>
    </cfRule>
    <cfRule type="expression" dxfId="6948" priority="399">
      <formula>AND(AX$9&gt;=8/24,AX$9&lt;14/24)</formula>
    </cfRule>
    <cfRule type="expression" dxfId="6947" priority="400">
      <formula>AX$9&lt;8/24</formula>
    </cfRule>
  </conditionalFormatting>
  <conditionalFormatting sqref="A115:A116">
    <cfRule type="expression" dxfId="6946" priority="352">
      <formula>$AH115=0</formula>
    </cfRule>
  </conditionalFormatting>
  <conditionalFormatting sqref="M54:P55 O56:P58 P59:P60 Q54:T60 U58:X60 AC54:AF54 M71:AF71 Y56:AE57 AC55:AE55 AF55:AF57">
    <cfRule type="expression" dxfId="6945" priority="348">
      <formula>M$9&gt;=20/24</formula>
    </cfRule>
    <cfRule type="expression" dxfId="6944" priority="349">
      <formula>AND(M$9&gt;=14/24,M$9&lt;20/24)</formula>
    </cfRule>
    <cfRule type="expression" dxfId="6943" priority="350">
      <formula>AND(M$9&gt;=8/24,M$9&lt;14/24)</formula>
    </cfRule>
    <cfRule type="expression" dxfId="6942" priority="351">
      <formula>M$9&lt;8/24</formula>
    </cfRule>
  </conditionalFormatting>
  <conditionalFormatting sqref="AC53:AF53 M53:T53">
    <cfRule type="expression" dxfId="6941" priority="344">
      <formula>M$9&gt;=20/24</formula>
    </cfRule>
    <cfRule type="expression" dxfId="6940" priority="345">
      <formula>AND(M$9&gt;=14/24,M$9&lt;20/24)</formula>
    </cfRule>
    <cfRule type="expression" dxfId="6939" priority="346">
      <formula>AND(M$9&gt;=8/24,M$9&lt;14/24)</formula>
    </cfRule>
    <cfRule type="expression" dxfId="6938" priority="347">
      <formula>M$9&lt;8/24</formula>
    </cfRule>
  </conditionalFormatting>
  <conditionalFormatting sqref="M53:P55 O56:P58 P59:P60 Q53:T60 U58:X60 AC53:AF54 Y56:AE57 AC55:AE55 AF55:AF57">
    <cfRule type="expression" dxfId="6937" priority="343">
      <formula>M53&gt;$AG53</formula>
    </cfRule>
  </conditionalFormatting>
  <conditionalFormatting sqref="D86:AF86 X47:AF47 X96:AF96 AD100:AF106 M100:X106 M72:X73 X67:AF69 Y72:AF74">
    <cfRule type="expression" dxfId="6936" priority="339">
      <formula>D$9&gt;=20/24</formula>
    </cfRule>
    <cfRule type="expression" dxfId="6935" priority="340">
      <formula>AND(D$9&gt;=14/24,D$9&lt;20/24)</formula>
    </cfRule>
    <cfRule type="expression" dxfId="6934" priority="341">
      <formula>AND(D$9&gt;=8/24,D$9&lt;14/24)</formula>
    </cfRule>
    <cfRule type="expression" dxfId="6933" priority="342">
      <formula>D$9&lt;8/24</formula>
    </cfRule>
  </conditionalFormatting>
  <conditionalFormatting sqref="X47:AF47 X67:AF69">
    <cfRule type="expression" dxfId="6932" priority="338">
      <formula>X47&gt;$AG47</formula>
    </cfRule>
  </conditionalFormatting>
  <conditionalFormatting sqref="U53:X57 Y53:AB55">
    <cfRule type="expression" dxfId="6931" priority="334">
      <formula>U$9&gt;=20/24</formula>
    </cfRule>
    <cfRule type="expression" dxfId="6930" priority="335">
      <formula>AND(U$9&gt;=14/24,U$9&lt;20/24)</formula>
    </cfRule>
    <cfRule type="expression" dxfId="6929" priority="336">
      <formula>AND(U$9&gt;=8/24,U$9&lt;14/24)</formula>
    </cfRule>
    <cfRule type="expression" dxfId="6928" priority="337">
      <formula>U$9&lt;8/24</formula>
    </cfRule>
  </conditionalFormatting>
  <conditionalFormatting sqref="U53:X57 Y53:AB55">
    <cfRule type="expression" dxfId="6927" priority="333">
      <formula>U53&gt;$AG53</formula>
    </cfRule>
  </conditionalFormatting>
  <conditionalFormatting sqref="C97:AF97 M88:AF88">
    <cfRule type="expression" dxfId="6926" priority="329">
      <formula>C$9&gt;=20/24</formula>
    </cfRule>
    <cfRule type="expression" dxfId="6925" priority="330">
      <formula>AND(C$9&gt;=14/24,C$9&lt;20/24)</formula>
    </cfRule>
    <cfRule type="expression" dxfId="6924" priority="331">
      <formula>AND(C$9&gt;=8/24,C$9&lt;14/24)</formula>
    </cfRule>
    <cfRule type="expression" dxfId="6923" priority="332">
      <formula>C$9&lt;8/24</formula>
    </cfRule>
  </conditionalFormatting>
  <conditionalFormatting sqref="T47:W47">
    <cfRule type="expression" dxfId="6922" priority="325">
      <formula>T$9&gt;=20/24</formula>
    </cfRule>
    <cfRule type="expression" dxfId="6921" priority="326">
      <formula>AND(T$9&gt;=14/24,T$9&lt;20/24)</formula>
    </cfRule>
    <cfRule type="expression" dxfId="6920" priority="327">
      <formula>AND(T$9&gt;=8/24,T$9&lt;14/24)</formula>
    </cfRule>
    <cfRule type="expression" dxfId="6919" priority="328">
      <formula>T$9&lt;8/24</formula>
    </cfRule>
  </conditionalFormatting>
  <conditionalFormatting sqref="T47:W47">
    <cfRule type="expression" dxfId="6918" priority="324">
      <formula>T47&gt;$AG47</formula>
    </cfRule>
  </conditionalFormatting>
  <conditionalFormatting sqref="Y46:AF46">
    <cfRule type="expression" dxfId="6917" priority="320">
      <formula>Y$9&gt;=20/24</formula>
    </cfRule>
    <cfRule type="expression" dxfId="6916" priority="321">
      <formula>AND(Y$9&gt;=14/24,Y$9&lt;20/24)</formula>
    </cfRule>
    <cfRule type="expression" dxfId="6915" priority="322">
      <formula>AND(Y$9&gt;=8/24,Y$9&lt;14/24)</formula>
    </cfRule>
    <cfRule type="expression" dxfId="6914" priority="323">
      <formula>Y$9&lt;8/24</formula>
    </cfRule>
  </conditionalFormatting>
  <conditionalFormatting sqref="Y46:AF46">
    <cfRule type="expression" dxfId="6913" priority="315">
      <formula>Y46&gt;$AG46</formula>
    </cfRule>
  </conditionalFormatting>
  <conditionalFormatting sqref="AG70 AG87 Q67:W69 E100:L106">
    <cfRule type="expression" dxfId="6912" priority="311">
      <formula>E$9&gt;=20/24</formula>
    </cfRule>
    <cfRule type="expression" dxfId="6911" priority="312">
      <formula>AND(E$9&gt;=14/24,E$9&lt;20/24)</formula>
    </cfRule>
    <cfRule type="expression" dxfId="6910" priority="313">
      <formula>AND(E$9&gt;=8/24,E$9&lt;14/24)</formula>
    </cfRule>
    <cfRule type="expression" dxfId="6909" priority="314">
      <formula>E$9&lt;8/24</formula>
    </cfRule>
  </conditionalFormatting>
  <conditionalFormatting sqref="AG48 AG66 AG70 Q67:W69">
    <cfRule type="expression" dxfId="6908" priority="310">
      <formula>Q48&gt;$AG48</formula>
    </cfRule>
  </conditionalFormatting>
  <conditionalFormatting sqref="Y58:AF58">
    <cfRule type="expression" dxfId="6907" priority="306">
      <formula>Y$9&gt;=20/24</formula>
    </cfRule>
    <cfRule type="expression" dxfId="6906" priority="307">
      <formula>AND(Y$9&gt;=14/24,Y$9&lt;20/24)</formula>
    </cfRule>
    <cfRule type="expression" dxfId="6905" priority="308">
      <formula>AND(Y$9&gt;=8/24,Y$9&lt;14/24)</formula>
    </cfRule>
    <cfRule type="expression" dxfId="6904" priority="309">
      <formula>Y$9&lt;8/24</formula>
    </cfRule>
  </conditionalFormatting>
  <conditionalFormatting sqref="Y58:AF58">
    <cfRule type="expression" dxfId="6903" priority="305">
      <formula>Y58&gt;$AG58</formula>
    </cfRule>
  </conditionalFormatting>
  <conditionalFormatting sqref="A43">
    <cfRule type="expression" dxfId="6902" priority="304">
      <formula>$AH43=0</formula>
    </cfRule>
  </conditionalFormatting>
  <conditionalFormatting sqref="X91:AF95">
    <cfRule type="expression" dxfId="6901" priority="300">
      <formula>X$9&gt;=20/24</formula>
    </cfRule>
    <cfRule type="expression" dxfId="6900" priority="301">
      <formula>AND(X$9&gt;=14/24,X$9&lt;20/24)</formula>
    </cfRule>
    <cfRule type="expression" dxfId="6899" priority="302">
      <formula>AND(X$9&gt;=8/24,X$9&lt;14/24)</formula>
    </cfRule>
    <cfRule type="expression" dxfId="6898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I49:L49 M49:AF51">
    <cfRule type="expression" dxfId="6897" priority="296">
      <formula>I$9&gt;=20/24</formula>
    </cfRule>
    <cfRule type="expression" dxfId="6896" priority="297">
      <formula>AND(I$9&gt;=14/24,I$9&lt;20/24)</formula>
    </cfRule>
    <cfRule type="expression" dxfId="6895" priority="298">
      <formula>AND(I$9&gt;=8/24,I$9&lt;14/24)</formula>
    </cfRule>
    <cfRule type="expression" dxfId="6894" priority="299">
      <formula>I$9&lt;8/24</formula>
    </cfRule>
  </conditionalFormatting>
  <conditionalFormatting sqref="I49:L49 M49:AF51">
    <cfRule type="expression" dxfId="6893" priority="295">
      <formula>I49&gt;$AG49</formula>
    </cfRule>
  </conditionalFormatting>
  <conditionalFormatting sqref="AG52">
    <cfRule type="expression" dxfId="6892" priority="291">
      <formula>AG$9&gt;=20/24</formula>
    </cfRule>
    <cfRule type="expression" dxfId="6891" priority="292">
      <formula>AND(AG$9&gt;=14/24,AG$9&lt;20/24)</formula>
    </cfRule>
    <cfRule type="expression" dxfId="6890" priority="293">
      <formula>AND(AG$9&gt;=8/24,AG$9&lt;14/24)</formula>
    </cfRule>
    <cfRule type="expression" dxfId="6889" priority="294">
      <formula>AG$9&lt;8/24</formula>
    </cfRule>
  </conditionalFormatting>
  <conditionalFormatting sqref="AG52">
    <cfRule type="expression" dxfId="6888" priority="290">
      <formula>AG52&gt;$AG52</formula>
    </cfRule>
  </conditionalFormatting>
  <conditionalFormatting sqref="C107:AF107">
    <cfRule type="expression" dxfId="6887" priority="286">
      <formula>C$9&gt;=20/24</formula>
    </cfRule>
    <cfRule type="expression" dxfId="6886" priority="287">
      <formula>AND(C$9&gt;=14/24,C$9&lt;20/24)</formula>
    </cfRule>
    <cfRule type="expression" dxfId="6885" priority="288">
      <formula>AND(C$9&gt;=8/24,C$9&lt;14/24)</formula>
    </cfRule>
    <cfRule type="expression" dxfId="6884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883" priority="284">
      <formula>$AH40=0</formula>
    </cfRule>
  </conditionalFormatting>
  <conditionalFormatting sqref="A90">
    <cfRule type="expression" dxfId="6882" priority="282">
      <formula>$AH90=0</formula>
    </cfRule>
  </conditionalFormatting>
  <conditionalFormatting sqref="A87">
    <cfRule type="expression" dxfId="6881" priority="283">
      <formula>$AH87=0</formula>
    </cfRule>
  </conditionalFormatting>
  <conditionalFormatting sqref="D110:AF110">
    <cfRule type="expression" dxfId="6880" priority="278">
      <formula>D$9&gt;=20/24</formula>
    </cfRule>
    <cfRule type="expression" dxfId="6879" priority="279">
      <formula>AND(D$9&gt;=14/24,D$9&lt;20/24)</formula>
    </cfRule>
    <cfRule type="expression" dxfId="6878" priority="280">
      <formula>AND(D$9&gt;=8/24,D$9&lt;14/24)</formula>
    </cfRule>
    <cfRule type="expression" dxfId="6877" priority="281">
      <formula>D$9&lt;8/24</formula>
    </cfRule>
  </conditionalFormatting>
  <conditionalFormatting sqref="A110">
    <cfRule type="expression" dxfId="6876" priority="277">
      <formula>$AH110=0</formula>
    </cfRule>
  </conditionalFormatting>
  <conditionalFormatting sqref="A21">
    <cfRule type="expression" dxfId="6875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874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873" priority="269">
      <formula>Y$9&gt;=20/24</formula>
    </cfRule>
    <cfRule type="expression" dxfId="6872" priority="270">
      <formula>AND(Y$9&gt;=14/24,Y$9&lt;20/24)</formula>
    </cfRule>
    <cfRule type="expression" dxfId="6871" priority="271">
      <formula>AND(Y$9&gt;=8/24,Y$9&lt;14/24)</formula>
    </cfRule>
    <cfRule type="expression" dxfId="6870" priority="272">
      <formula>Y$9&lt;8/24</formula>
    </cfRule>
  </conditionalFormatting>
  <conditionalFormatting sqref="Y100:AC106">
    <cfRule type="expression" dxfId="6869" priority="265">
      <formula>Y$9&gt;=20/24</formula>
    </cfRule>
    <cfRule type="expression" dxfId="6868" priority="266">
      <formula>AND(Y$9&gt;=14/24,Y$9&lt;20/24)</formula>
    </cfRule>
    <cfRule type="expression" dxfId="6867" priority="267">
      <formula>AND(Y$9&gt;=8/24,Y$9&lt;14/24)</formula>
    </cfRule>
    <cfRule type="expression" dxfId="6866" priority="268">
      <formula>Y$9&lt;8/24</formula>
    </cfRule>
  </conditionalFormatting>
  <conditionalFormatting sqref="C109 C111:C116">
    <cfRule type="expression" dxfId="6865" priority="261">
      <formula>C$9&gt;=20/24</formula>
    </cfRule>
    <cfRule type="expression" dxfId="6864" priority="262">
      <formula>AND(C$9&gt;=14/24,C$9&lt;20/24)</formula>
    </cfRule>
    <cfRule type="expression" dxfId="6863" priority="263">
      <formula>AND(C$9&gt;=8/24,C$9&lt;14/24)</formula>
    </cfRule>
    <cfRule type="expression" dxfId="6862" priority="264">
      <formula>C$9&lt;8/24</formula>
    </cfRule>
  </conditionalFormatting>
  <conditionalFormatting sqref="C47:S47">
    <cfRule type="expression" dxfId="6861" priority="257">
      <formula>C$9&gt;=20/24</formula>
    </cfRule>
    <cfRule type="expression" dxfId="6860" priority="258">
      <formula>AND(C$9&gt;=14/24,C$9&lt;20/24)</formula>
    </cfRule>
    <cfRule type="expression" dxfId="6859" priority="259">
      <formula>AND(C$9&gt;=8/24,C$9&lt;14/24)</formula>
    </cfRule>
    <cfRule type="expression" dxfId="6858" priority="260">
      <formula>C$9&lt;8/24</formula>
    </cfRule>
  </conditionalFormatting>
  <conditionalFormatting sqref="C47:S47">
    <cfRule type="expression" dxfId="6857" priority="256">
      <formula>C47&gt;$AG47</formula>
    </cfRule>
  </conditionalFormatting>
  <conditionalFormatting sqref="C99:D99">
    <cfRule type="expression" dxfId="6856" priority="252">
      <formula>C$9&gt;=20/24</formula>
    </cfRule>
    <cfRule type="expression" dxfId="6855" priority="253">
      <formula>AND(C$9&gt;=14/24,C$9&lt;20/24)</formula>
    </cfRule>
    <cfRule type="expression" dxfId="6854" priority="254">
      <formula>AND(C$9&gt;=8/24,C$9&lt;14/24)</formula>
    </cfRule>
    <cfRule type="expression" dxfId="6853" priority="255">
      <formula>C$9&lt;8/24</formula>
    </cfRule>
  </conditionalFormatting>
  <conditionalFormatting sqref="C86 C100:D106 M67:P69 C96:W96 C83:AF85 M74:X76 Y75:AF76">
    <cfRule type="expression" dxfId="6852" priority="239">
      <formula>C$9&gt;=20/24</formula>
    </cfRule>
    <cfRule type="expression" dxfId="6851" priority="240">
      <formula>AND(C$9&gt;=14/24,C$9&lt;20/24)</formula>
    </cfRule>
    <cfRule type="expression" dxfId="6850" priority="241">
      <formula>AND(C$9&gt;=8/24,C$9&lt;14/24)</formula>
    </cfRule>
    <cfRule type="expression" dxfId="6849" priority="242">
      <formula>C$9&lt;8/24</formula>
    </cfRule>
  </conditionalFormatting>
  <conditionalFormatting sqref="M67:P69">
    <cfRule type="expression" dxfId="6848" priority="238">
      <formula>M67&gt;$AG67</formula>
    </cfRule>
  </conditionalFormatting>
  <conditionalFormatting sqref="B54:L57 B71:L71 M56:N57">
    <cfRule type="expression" dxfId="6847" priority="152">
      <formula>B$9&gt;=20/24</formula>
    </cfRule>
    <cfRule type="expression" dxfId="6846" priority="153">
      <formula>AND(B$9&gt;=14/24,B$9&lt;20/24)</formula>
    </cfRule>
    <cfRule type="expression" dxfId="6845" priority="154">
      <formula>AND(B$9&gt;=8/24,B$9&lt;14/24)</formula>
    </cfRule>
    <cfRule type="expression" dxfId="6844" priority="155">
      <formula>B$9&lt;8/24</formula>
    </cfRule>
  </conditionalFormatting>
  <conditionalFormatting sqref="C70:AF70 C87:AF87 C89:AF89 C98:AF98">
    <cfRule type="expression" dxfId="6843" priority="224">
      <formula>C$9&gt;=20/24</formula>
    </cfRule>
    <cfRule type="expression" dxfId="6842" priority="225">
      <formula>AND(C$9&gt;=14/24,C$9&lt;20/24)</formula>
    </cfRule>
    <cfRule type="expression" dxfId="6841" priority="226">
      <formula>AND(C$9&gt;=8/24,C$9&lt;14/24)</formula>
    </cfRule>
    <cfRule type="expression" dxfId="6840" priority="227">
      <formula>C$9&lt;8/24</formula>
    </cfRule>
  </conditionalFormatting>
  <conditionalFormatting sqref="C48:AF48 C65:AF66 C70:AF70">
    <cfRule type="expression" dxfId="6839" priority="223">
      <formula>C48&gt;$AG48</formula>
    </cfRule>
  </conditionalFormatting>
  <conditionalFormatting sqref="C82:AF82">
    <cfRule type="expression" dxfId="6838" priority="219">
      <formula>C$9&gt;=20/24</formula>
    </cfRule>
    <cfRule type="expression" dxfId="6837" priority="220">
      <formula>AND(C$9&gt;=14/24,C$9&lt;20/24)</formula>
    </cfRule>
    <cfRule type="expression" dxfId="6836" priority="221">
      <formula>AND(C$9&gt;=8/24,C$9&lt;14/24)</formula>
    </cfRule>
    <cfRule type="expression" dxfId="6835" priority="222">
      <formula>C$9&lt;8/24</formula>
    </cfRule>
  </conditionalFormatting>
  <conditionalFormatting sqref="C91:W95">
    <cfRule type="expression" dxfId="6834" priority="215">
      <formula>C$9&gt;=20/24</formula>
    </cfRule>
    <cfRule type="expression" dxfId="6833" priority="216">
      <formula>AND(C$9&gt;=14/24,C$9&lt;20/24)</formula>
    </cfRule>
    <cfRule type="expression" dxfId="6832" priority="217">
      <formula>AND(C$9&gt;=8/24,C$9&lt;14/24)</formula>
    </cfRule>
    <cfRule type="expression" dxfId="6831" priority="218">
      <formula>C$9&lt;8/24</formula>
    </cfRule>
  </conditionalFormatting>
  <conditionalFormatting sqref="C52:AF52">
    <cfRule type="expression" dxfId="6830" priority="206">
      <formula>C$9&gt;=20/24</formula>
    </cfRule>
    <cfRule type="expression" dxfId="6829" priority="207">
      <formula>AND(C$9&gt;=14/24,C$9&lt;20/24)</formula>
    </cfRule>
    <cfRule type="expression" dxfId="6828" priority="208">
      <formula>AND(C$9&gt;=8/24,C$9&lt;14/24)</formula>
    </cfRule>
    <cfRule type="expression" dxfId="6827" priority="209">
      <formula>C$9&lt;8/24</formula>
    </cfRule>
  </conditionalFormatting>
  <conditionalFormatting sqref="C52:AF52">
    <cfRule type="expression" dxfId="6826" priority="205">
      <formula>C52&gt;$AG52</formula>
    </cfRule>
  </conditionalFormatting>
  <conditionalFormatting sqref="B49:H51 I50:L51">
    <cfRule type="expression" dxfId="6825" priority="120">
      <formula>B$9&gt;=20/24</formula>
    </cfRule>
    <cfRule type="expression" dxfId="6824" priority="121">
      <formula>AND(B$9&gt;=14/24,B$9&lt;20/24)</formula>
    </cfRule>
    <cfRule type="expression" dxfId="6823" priority="122">
      <formula>AND(B$9&gt;=8/24,B$9&lt;14/24)</formula>
    </cfRule>
    <cfRule type="expression" dxfId="6822" priority="123">
      <formula>B$9&lt;8/24</formula>
    </cfRule>
  </conditionalFormatting>
  <conditionalFormatting sqref="C110">
    <cfRule type="expression" dxfId="6821" priority="197">
      <formula>C$9&gt;=20/24</formula>
    </cfRule>
    <cfRule type="expression" dxfId="6820" priority="198">
      <formula>AND(C$9&gt;=14/24,C$9&lt;20/24)</formula>
    </cfRule>
    <cfRule type="expression" dxfId="6819" priority="199">
      <formula>AND(C$9&gt;=8/24,C$9&lt;14/24)</formula>
    </cfRule>
    <cfRule type="expression" dxfId="6818" priority="200">
      <formula>C$9&lt;8/24</formula>
    </cfRule>
  </conditionalFormatting>
  <conditionalFormatting sqref="P61:X64 Y59:AF64">
    <cfRule type="expression" dxfId="6817" priority="193">
      <formula>P$9&gt;=20/24</formula>
    </cfRule>
    <cfRule type="expression" dxfId="6816" priority="194">
      <formula>AND(P$9&gt;=14/24,P$9&lt;20/24)</formula>
    </cfRule>
    <cfRule type="expression" dxfId="6815" priority="195">
      <formula>AND(P$9&gt;=8/24,P$9&lt;14/24)</formula>
    </cfRule>
    <cfRule type="expression" dxfId="6814" priority="196">
      <formula>P$9&lt;8/24</formula>
    </cfRule>
  </conditionalFormatting>
  <conditionalFormatting sqref="P61:X64 Y59:AF64">
    <cfRule type="expression" dxfId="6813" priority="192">
      <formula>P59&gt;$AG59</formula>
    </cfRule>
  </conditionalFormatting>
  <conditionalFormatting sqref="M77:AF81">
    <cfRule type="expression" dxfId="6812" priority="174">
      <formula>M$9&gt;=20/24</formula>
    </cfRule>
    <cfRule type="expression" dxfId="6811" priority="175">
      <formula>AND(M$9&gt;=14/24,M$9&lt;20/24)</formula>
    </cfRule>
    <cfRule type="expression" dxfId="6810" priority="176">
      <formula>AND(M$9&gt;=8/24,M$9&lt;14/24)</formula>
    </cfRule>
    <cfRule type="expression" dxfId="6809" priority="177">
      <formula>M$9&lt;8/24</formula>
    </cfRule>
  </conditionalFormatting>
  <conditionalFormatting sqref="AL78:AN78 AL84:AN84 AN79:AN80">
    <cfRule type="expression" dxfId="6808" priority="170">
      <formula>AL$9&gt;=20/24</formula>
    </cfRule>
    <cfRule type="expression" dxfId="6807" priority="171">
      <formula>AND(AL$9&gt;=14/24,AL$9&lt;20/24)</formula>
    </cfRule>
    <cfRule type="expression" dxfId="6806" priority="172">
      <formula>AND(AL$9&gt;=8/24,AL$9&lt;14/24)</formula>
    </cfRule>
    <cfRule type="expression" dxfId="6805" priority="173">
      <formula>AL$9&lt;8/24</formula>
    </cfRule>
  </conditionalFormatting>
  <conditionalFormatting sqref="AN81:AN82">
    <cfRule type="expression" dxfId="6804" priority="166">
      <formula>AN$9&gt;=20/24</formula>
    </cfRule>
    <cfRule type="expression" dxfId="6803" priority="167">
      <formula>AND(AN$9&gt;=14/24,AN$9&lt;20/24)</formula>
    </cfRule>
    <cfRule type="expression" dxfId="6802" priority="168">
      <formula>AND(AN$9&gt;=8/24,AN$9&lt;14/24)</formula>
    </cfRule>
    <cfRule type="expression" dxfId="6801" priority="169">
      <formula>AN$9&lt;8/24</formula>
    </cfRule>
  </conditionalFormatting>
  <conditionalFormatting sqref="AL79:AM83">
    <cfRule type="expression" dxfId="6800" priority="402">
      <formula>AJ$9&gt;=20/24</formula>
    </cfRule>
    <cfRule type="expression" dxfId="6799" priority="403">
      <formula>AND(AJ$9&gt;=14/24,AJ$9&lt;20/24)</formula>
    </cfRule>
    <cfRule type="expression" dxfId="6798" priority="404">
      <formula>AND(AJ$9&gt;=8/24,AJ$9&lt;14/24)</formula>
    </cfRule>
    <cfRule type="expression" dxfId="6797" priority="405">
      <formula>AJ$9&lt;8/24</formula>
    </cfRule>
  </conditionalFormatting>
  <conditionalFormatting sqref="A117">
    <cfRule type="expression" dxfId="6796" priority="165">
      <formula>$AH117=0</formula>
    </cfRule>
  </conditionalFormatting>
  <conditionalFormatting sqref="B109 B111:B116 B12:X15 B17:X32 B34:X43 B45:X45">
    <cfRule type="expression" dxfId="6795" priority="161">
      <formula>B$9&gt;=20/24</formula>
    </cfRule>
    <cfRule type="expression" dxfId="6794" priority="162">
      <formula>AND(B$9&gt;=14/24,B$9&lt;20/24)</formula>
    </cfRule>
    <cfRule type="expression" dxfId="6793" priority="163">
      <formula>AND(B$9&gt;=8/24,B$9&lt;14/24)</formula>
    </cfRule>
    <cfRule type="expression" dxfId="6792" priority="164">
      <formula>B$9&lt;8/24</formula>
    </cfRule>
  </conditionalFormatting>
  <conditionalFormatting sqref="B12:X15 B17:X32 B34:X43 B45:X45">
    <cfRule type="expression" dxfId="6791" priority="160">
      <formula>B12&gt;$AG12</formula>
    </cfRule>
  </conditionalFormatting>
  <conditionalFormatting sqref="B99">
    <cfRule type="expression" dxfId="6790" priority="156">
      <formula>B$9&gt;=20/24</formula>
    </cfRule>
    <cfRule type="expression" dxfId="6789" priority="157">
      <formula>AND(B$9&gt;=14/24,B$9&lt;20/24)</formula>
    </cfRule>
    <cfRule type="expression" dxfId="6788" priority="158">
      <formula>AND(B$9&gt;=8/24,B$9&lt;14/24)</formula>
    </cfRule>
    <cfRule type="expression" dxfId="6787" priority="159">
      <formula>B$9&lt;8/24</formula>
    </cfRule>
  </conditionalFormatting>
  <conditionalFormatting sqref="B53:L53">
    <cfRule type="expression" dxfId="6786" priority="148">
      <formula>B$9&gt;=20/24</formula>
    </cfRule>
    <cfRule type="expression" dxfId="6785" priority="149">
      <formula>AND(B$9&gt;=14/24,B$9&lt;20/24)</formula>
    </cfRule>
    <cfRule type="expression" dxfId="6784" priority="150">
      <formula>AND(B$9&gt;=8/24,B$9&lt;14/24)</formula>
    </cfRule>
    <cfRule type="expression" dxfId="6783" priority="151">
      <formula>B$9&lt;8/24</formula>
    </cfRule>
  </conditionalFormatting>
  <conditionalFormatting sqref="B53:L57 M56:N57">
    <cfRule type="expression" dxfId="6782" priority="147">
      <formula>B53&gt;$AG53</formula>
    </cfRule>
  </conditionalFormatting>
  <conditionalFormatting sqref="B96 B100:B106 B86 B47 B67:L69 B72:L74">
    <cfRule type="expression" dxfId="6781" priority="143">
      <formula>B$9&gt;=20/24</formula>
    </cfRule>
    <cfRule type="expression" dxfId="6780" priority="144">
      <formula>AND(B$9&gt;=14/24,B$9&lt;20/24)</formula>
    </cfRule>
    <cfRule type="expression" dxfId="6779" priority="145">
      <formula>AND(B$9&gt;=8/24,B$9&lt;14/24)</formula>
    </cfRule>
    <cfRule type="expression" dxfId="6778" priority="146">
      <formula>B$9&lt;8/24</formula>
    </cfRule>
  </conditionalFormatting>
  <conditionalFormatting sqref="B47 B67:L69">
    <cfRule type="expression" dxfId="6777" priority="142">
      <formula>B47&gt;$AG47</formula>
    </cfRule>
  </conditionalFormatting>
  <conditionalFormatting sqref="B97 B88:L88">
    <cfRule type="expression" dxfId="6776" priority="138">
      <formula>B$9&gt;=20/24</formula>
    </cfRule>
    <cfRule type="expression" dxfId="6775" priority="139">
      <formula>AND(B$9&gt;=14/24,B$9&lt;20/24)</formula>
    </cfRule>
    <cfRule type="expression" dxfId="6774" priority="140">
      <formula>AND(B$9&gt;=8/24,B$9&lt;14/24)</formula>
    </cfRule>
    <cfRule type="expression" dxfId="6773" priority="141">
      <formula>B$9&lt;8/24</formula>
    </cfRule>
  </conditionalFormatting>
  <conditionalFormatting sqref="B46:X46">
    <cfRule type="expression" dxfId="6772" priority="134">
      <formula>B$9&gt;=20/24</formula>
    </cfRule>
    <cfRule type="expression" dxfId="6771" priority="135">
      <formula>AND(B$9&gt;=14/24,B$9&lt;20/24)</formula>
    </cfRule>
    <cfRule type="expression" dxfId="6770" priority="136">
      <formula>AND(B$9&gt;=8/24,B$9&lt;14/24)</formula>
    </cfRule>
    <cfRule type="expression" dxfId="6769" priority="137">
      <formula>B$9&lt;8/24</formula>
    </cfRule>
  </conditionalFormatting>
  <conditionalFormatting sqref="B46:X46">
    <cfRule type="expression" dxfId="6768" priority="133">
      <formula>B46&gt;$AG46</formula>
    </cfRule>
  </conditionalFormatting>
  <conditionalFormatting sqref="B58:N58">
    <cfRule type="expression" dxfId="6767" priority="129">
      <formula>B$9&gt;=20/24</formula>
    </cfRule>
    <cfRule type="expression" dxfId="6766" priority="130">
      <formula>AND(B$9&gt;=14/24,B$9&lt;20/24)</formula>
    </cfRule>
    <cfRule type="expression" dxfId="6765" priority="131">
      <formula>AND(B$9&gt;=8/24,B$9&lt;14/24)</formula>
    </cfRule>
    <cfRule type="expression" dxfId="6764" priority="132">
      <formula>B$9&lt;8/24</formula>
    </cfRule>
  </conditionalFormatting>
  <conditionalFormatting sqref="B58:N58">
    <cfRule type="expression" dxfId="6763" priority="128">
      <formula>B58&gt;$AG58</formula>
    </cfRule>
  </conditionalFormatting>
  <conditionalFormatting sqref="B91:B95">
    <cfRule type="expression" dxfId="6762" priority="124">
      <formula>B$9&gt;=20/24</formula>
    </cfRule>
    <cfRule type="expression" dxfId="6761" priority="125">
      <formula>AND(B$9&gt;=14/24,B$9&lt;20/24)</formula>
    </cfRule>
    <cfRule type="expression" dxfId="6760" priority="126">
      <formula>AND(B$9&gt;=8/24,B$9&lt;14/24)</formula>
    </cfRule>
    <cfRule type="expression" dxfId="6759" priority="127">
      <formula>B$9&lt;8/24</formula>
    </cfRule>
  </conditionalFormatting>
  <conditionalFormatting sqref="B49:H51 I50:L51">
    <cfRule type="expression" dxfId="6758" priority="119">
      <formula>B49&gt;$AG49</formula>
    </cfRule>
  </conditionalFormatting>
  <conditionalFormatting sqref="B107">
    <cfRule type="expression" dxfId="6757" priority="115">
      <formula>B$9&gt;=20/24</formula>
    </cfRule>
    <cfRule type="expression" dxfId="6756" priority="116">
      <formula>AND(B$9&gt;=14/24,B$9&lt;20/24)</formula>
    </cfRule>
    <cfRule type="expression" dxfId="6755" priority="117">
      <formula>AND(B$9&gt;=8/24,B$9&lt;14/24)</formula>
    </cfRule>
    <cfRule type="expression" dxfId="6754" priority="118">
      <formula>B$9&lt;8/24</formula>
    </cfRule>
  </conditionalFormatting>
  <conditionalFormatting sqref="B110">
    <cfRule type="expression" dxfId="6753" priority="111">
      <formula>B$9&gt;=20/24</formula>
    </cfRule>
    <cfRule type="expression" dxfId="6752" priority="112">
      <formula>AND(B$9&gt;=14/24,B$9&lt;20/24)</formula>
    </cfRule>
    <cfRule type="expression" dxfId="6751" priority="113">
      <formula>AND(B$9&gt;=8/24,B$9&lt;14/24)</formula>
    </cfRule>
    <cfRule type="expression" dxfId="6750" priority="114">
      <formula>B$9&lt;8/24</formula>
    </cfRule>
  </conditionalFormatting>
  <conditionalFormatting sqref="B83:B85 B75:L76">
    <cfRule type="expression" dxfId="6749" priority="107">
      <formula>B$9&gt;=20/24</formula>
    </cfRule>
    <cfRule type="expression" dxfId="6748" priority="108">
      <formula>AND(B$9&gt;=14/24,B$9&lt;20/24)</formula>
    </cfRule>
    <cfRule type="expression" dxfId="6747" priority="109">
      <formula>AND(B$9&gt;=8/24,B$9&lt;14/24)</formula>
    </cfRule>
    <cfRule type="expression" dxfId="6746" priority="110">
      <formula>B$9&lt;8/24</formula>
    </cfRule>
  </conditionalFormatting>
  <conditionalFormatting sqref="B89 B98 B70 B87">
    <cfRule type="expression" dxfId="6745" priority="103">
      <formula>B$9&gt;=20/24</formula>
    </cfRule>
    <cfRule type="expression" dxfId="6744" priority="104">
      <formula>AND(B$9&gt;=14/24,B$9&lt;20/24)</formula>
    </cfRule>
    <cfRule type="expression" dxfId="6743" priority="105">
      <formula>AND(B$9&gt;=8/24,B$9&lt;14/24)</formula>
    </cfRule>
    <cfRule type="expression" dxfId="6742" priority="106">
      <formula>B$9&lt;8/24</formula>
    </cfRule>
  </conditionalFormatting>
  <conditionalFormatting sqref="B48 B65:B66 B70">
    <cfRule type="expression" dxfId="6741" priority="102">
      <formula>B48&gt;$AG48</formula>
    </cfRule>
  </conditionalFormatting>
  <conditionalFormatting sqref="B82">
    <cfRule type="expression" dxfId="6740" priority="98">
      <formula>B$9&gt;=20/24</formula>
    </cfRule>
    <cfRule type="expression" dxfId="6739" priority="99">
      <formula>AND(B$9&gt;=14/24,B$9&lt;20/24)</formula>
    </cfRule>
    <cfRule type="expression" dxfId="6738" priority="100">
      <formula>AND(B$9&gt;=8/24,B$9&lt;14/24)</formula>
    </cfRule>
    <cfRule type="expression" dxfId="6737" priority="101">
      <formula>B$9&lt;8/24</formula>
    </cfRule>
  </conditionalFormatting>
  <conditionalFormatting sqref="B52">
    <cfRule type="expression" dxfId="6736" priority="94">
      <formula>B$9&gt;=20/24</formula>
    </cfRule>
    <cfRule type="expression" dxfId="6735" priority="95">
      <formula>AND(B$9&gt;=14/24,B$9&lt;20/24)</formula>
    </cfRule>
    <cfRule type="expression" dxfId="6734" priority="96">
      <formula>AND(B$9&gt;=8/24,B$9&lt;14/24)</formula>
    </cfRule>
    <cfRule type="expression" dxfId="6733" priority="97">
      <formula>B$9&lt;8/24</formula>
    </cfRule>
  </conditionalFormatting>
  <conditionalFormatting sqref="B52">
    <cfRule type="expression" dxfId="6732" priority="93">
      <formula>B52&gt;$AG52</formula>
    </cfRule>
  </conditionalFormatting>
  <conditionalFormatting sqref="B59:O64">
    <cfRule type="expression" dxfId="6731" priority="85">
      <formula>B$9&gt;=20/24</formula>
    </cfRule>
    <cfRule type="expression" dxfId="6730" priority="86">
      <formula>AND(B$9&gt;=14/24,B$9&lt;20/24)</formula>
    </cfRule>
    <cfRule type="expression" dxfId="6729" priority="87">
      <formula>AND(B$9&gt;=8/24,B$9&lt;14/24)</formula>
    </cfRule>
    <cfRule type="expression" dxfId="6728" priority="88">
      <formula>B$9&lt;8/24</formula>
    </cfRule>
  </conditionalFormatting>
  <conditionalFormatting sqref="B59:O64">
    <cfRule type="expression" dxfId="6727" priority="84">
      <formula>B59&gt;$AG59</formula>
    </cfRule>
  </conditionalFormatting>
  <conditionalFormatting sqref="B77:L81">
    <cfRule type="expression" dxfId="6726" priority="80">
      <formula>B$9&gt;=20/24</formula>
    </cfRule>
    <cfRule type="expression" dxfId="6725" priority="81">
      <formula>AND(B$9&gt;=14/24,B$9&lt;20/24)</formula>
    </cfRule>
    <cfRule type="expression" dxfId="6724" priority="82">
      <formula>AND(B$9&gt;=8/24,B$9&lt;14/24)</formula>
    </cfRule>
    <cfRule type="expression" dxfId="6723" priority="83">
      <formula>B$9&lt;8/24</formula>
    </cfRule>
  </conditionalFormatting>
  <conditionalFormatting sqref="Y11:AF11">
    <cfRule type="expression" dxfId="6722" priority="76">
      <formula>Y$9&gt;=20/24</formula>
    </cfRule>
    <cfRule type="expression" dxfId="6721" priority="77">
      <formula>AND(Y$9&gt;=14/24,Y$9&lt;20/24)</formula>
    </cfRule>
    <cfRule type="expression" dxfId="6720" priority="78">
      <formula>AND(Y$9&gt;=8/24,Y$9&lt;14/24)</formula>
    </cfRule>
    <cfRule type="expression" dxfId="6719" priority="79">
      <formula>Y$9&lt;8/24</formula>
    </cfRule>
  </conditionalFormatting>
  <conditionalFormatting sqref="Y11:AF11">
    <cfRule type="expression" dxfId="6718" priority="75">
      <formula>Y11&gt;$AG11</formula>
    </cfRule>
  </conditionalFormatting>
  <conditionalFormatting sqref="A11">
    <cfRule type="expression" dxfId="6717" priority="74">
      <formula>$AH11=0</formula>
    </cfRule>
  </conditionalFormatting>
  <conditionalFormatting sqref="B11:X11">
    <cfRule type="expression" dxfId="6716" priority="65">
      <formula>B$9&gt;=20/24</formula>
    </cfRule>
    <cfRule type="expression" dxfId="6715" priority="66">
      <formula>AND(B$9&gt;=14/24,B$9&lt;20/24)</formula>
    </cfRule>
    <cfRule type="expression" dxfId="6714" priority="67">
      <formula>AND(B$9&gt;=8/24,B$9&lt;14/24)</formula>
    </cfRule>
    <cfRule type="expression" dxfId="6713" priority="68">
      <formula>B$9&lt;8/24</formula>
    </cfRule>
  </conditionalFormatting>
  <conditionalFormatting sqref="B11:X11">
    <cfRule type="expression" dxfId="6712" priority="64">
      <formula>B11&gt;$AG11</formula>
    </cfRule>
  </conditionalFormatting>
  <conditionalFormatting sqref="Y16:AF16">
    <cfRule type="expression" dxfId="6711" priority="59">
      <formula>Y$9&gt;=20/24</formula>
    </cfRule>
    <cfRule type="expression" dxfId="6710" priority="60">
      <formula>AND(Y$9&gt;=14/24,Y$9&lt;20/24)</formula>
    </cfRule>
    <cfRule type="expression" dxfId="6709" priority="61">
      <formula>AND(Y$9&gt;=8/24,Y$9&lt;14/24)</formula>
    </cfRule>
    <cfRule type="expression" dxfId="6708" priority="62">
      <formula>Y$9&lt;8/24</formula>
    </cfRule>
  </conditionalFormatting>
  <conditionalFormatting sqref="Y16:AF16">
    <cfRule type="expression" dxfId="6707" priority="58">
      <formula>Y16&gt;$AG16</formula>
    </cfRule>
  </conditionalFormatting>
  <conditionalFormatting sqref="A16">
    <cfRule type="expression" dxfId="6706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6:X16">
    <cfRule type="expression" dxfId="6705" priority="48">
      <formula>B$9&gt;=20/24</formula>
    </cfRule>
    <cfRule type="expression" dxfId="6704" priority="49">
      <formula>AND(B$9&gt;=14/24,B$9&lt;20/24)</formula>
    </cfRule>
    <cfRule type="expression" dxfId="6703" priority="50">
      <formula>AND(B$9&gt;=8/24,B$9&lt;14/24)</formula>
    </cfRule>
    <cfRule type="expression" dxfId="6702" priority="51">
      <formula>B$9&lt;8/24</formula>
    </cfRule>
  </conditionalFormatting>
  <conditionalFormatting sqref="B16:X16">
    <cfRule type="expression" dxfId="6701" priority="47">
      <formula>B16&gt;$AG16</formula>
    </cfRule>
  </conditionalFormatting>
  <conditionalFormatting sqref="Y33:AF33">
    <cfRule type="expression" dxfId="6700" priority="42">
      <formula>Y$9&gt;=20/24</formula>
    </cfRule>
    <cfRule type="expression" dxfId="6699" priority="43">
      <formula>AND(Y$9&gt;=14/24,Y$9&lt;20/24)</formula>
    </cfRule>
    <cfRule type="expression" dxfId="6698" priority="44">
      <formula>AND(Y$9&gt;=8/24,Y$9&lt;14/24)</formula>
    </cfRule>
    <cfRule type="expression" dxfId="6697" priority="45">
      <formula>Y$9&lt;8/24</formula>
    </cfRule>
  </conditionalFormatting>
  <conditionalFormatting sqref="Y33:AF33">
    <cfRule type="expression" dxfId="6696" priority="41">
      <formula>Y33&gt;$AG33</formula>
    </cfRule>
  </conditionalFormatting>
  <conditionalFormatting sqref="A33">
    <cfRule type="expression" dxfId="6695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6694" priority="31">
      <formula>B$9&gt;=20/24</formula>
    </cfRule>
    <cfRule type="expression" dxfId="6693" priority="32">
      <formula>AND(B$9&gt;=14/24,B$9&lt;20/24)</formula>
    </cfRule>
    <cfRule type="expression" dxfId="6692" priority="33">
      <formula>AND(B$9&gt;=8/24,B$9&lt;14/24)</formula>
    </cfRule>
    <cfRule type="expression" dxfId="6691" priority="34">
      <formula>B$9&lt;8/24</formula>
    </cfRule>
  </conditionalFormatting>
  <conditionalFormatting sqref="B33:X33">
    <cfRule type="expression" dxfId="6690" priority="30">
      <formula>B33&gt;$AG33</formula>
    </cfRule>
  </conditionalFormatting>
  <conditionalFormatting sqref="Y44:AF44">
    <cfRule type="expression" dxfId="6689" priority="25">
      <formula>Y$9&gt;=20/24</formula>
    </cfRule>
    <cfRule type="expression" dxfId="6688" priority="26">
      <formula>AND(Y$9&gt;=14/24,Y$9&lt;20/24)</formula>
    </cfRule>
    <cfRule type="expression" dxfId="6687" priority="27">
      <formula>AND(Y$9&gt;=8/24,Y$9&lt;14/24)</formula>
    </cfRule>
    <cfRule type="expression" dxfId="6686" priority="28">
      <formula>Y$9&lt;8/24</formula>
    </cfRule>
  </conditionalFormatting>
  <conditionalFormatting sqref="Y44:AF44">
    <cfRule type="expression" dxfId="6685" priority="24">
      <formula>Y44&gt;$AG44</formula>
    </cfRule>
  </conditionalFormatting>
  <conditionalFormatting sqref="A44">
    <cfRule type="expression" dxfId="6684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6683" priority="14">
      <formula>B$9&gt;=20/24</formula>
    </cfRule>
    <cfRule type="expression" dxfId="6682" priority="15">
      <formula>AND(B$9&gt;=14/24,B$9&lt;20/24)</formula>
    </cfRule>
    <cfRule type="expression" dxfId="6681" priority="16">
      <formula>AND(B$9&gt;=8/24,B$9&lt;14/24)</formula>
    </cfRule>
    <cfRule type="expression" dxfId="6680" priority="17">
      <formula>B$9&lt;8/24</formula>
    </cfRule>
  </conditionalFormatting>
  <conditionalFormatting sqref="B44:X44">
    <cfRule type="expression" dxfId="6679" priority="13">
      <formula>B44&gt;$AG44</formula>
    </cfRule>
  </conditionalFormatting>
  <conditionalFormatting sqref="B117">
    <cfRule type="expression" dxfId="6678" priority="1">
      <formula>B$9&gt;=20/24</formula>
    </cfRule>
    <cfRule type="expression" dxfId="6677" priority="2">
      <formula>AND(B$9&gt;=14/24,B$9&lt;20/24)</formula>
    </cfRule>
    <cfRule type="expression" dxfId="6676" priority="3">
      <formula>AND(B$9&gt;=8/24,B$9&lt;14/24)</formula>
    </cfRule>
    <cfRule type="expression" dxfId="6675" priority="4">
      <formula>B$9&lt;8/24</formula>
    </cfRule>
  </conditionalFormatting>
  <conditionalFormatting sqref="D117:AF117">
    <cfRule type="expression" dxfId="6674" priority="9">
      <formula>D$9&gt;=20/24</formula>
    </cfRule>
    <cfRule type="expression" dxfId="6673" priority="10">
      <formula>AND(D$9&gt;=14/24,D$9&lt;20/24)</formula>
    </cfRule>
    <cfRule type="expression" dxfId="6672" priority="11">
      <formula>AND(D$9&gt;=8/24,D$9&lt;14/24)</formula>
    </cfRule>
    <cfRule type="expression" dxfId="6671" priority="12">
      <formula>D$9&lt;8/24</formula>
    </cfRule>
  </conditionalFormatting>
  <conditionalFormatting sqref="C117">
    <cfRule type="expression" dxfId="6670" priority="5">
      <formula>C$9&gt;=20/24</formula>
    </cfRule>
    <cfRule type="expression" dxfId="6669" priority="6">
      <formula>AND(C$9&gt;=14/24,C$9&lt;20/24)</formula>
    </cfRule>
    <cfRule type="expression" dxfId="6668" priority="7">
      <formula>AND(C$9&gt;=8/24,C$9&lt;14/24)</formula>
    </cfRule>
    <cfRule type="expression" dxfId="666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24A3B233-8F3A-4C2B-B8F3-EDD7D5C71D4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E1F6555A-385C-43A9-A765-85566F60BBF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0D5FAD93-89D0-47BB-BB71-84BD375BE69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199EC65E-4A0A-4CEC-93A6-7F05E97317A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367C5E06-40CF-451F-BF13-E89D81FDFA9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D2A80150-8CEB-42A6-A7D4-2BF2A541DE5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C070C861-0D15-4A4C-AEF8-444E1BA2424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54C7708F-D861-4EA9-8747-ED257C6E5E5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8"/>
  <sheetViews>
    <sheetView zoomScale="85" zoomScaleNormal="85" workbookViewId="0">
      <pane ySplit="10" topLeftCell="A55" activePane="bottomLeft" state="frozen"/>
      <selection activeCell="Z85" sqref="Z85"/>
      <selection pane="bottomLeft" activeCell="AD115" sqref="AD11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2079/11/17</v>
      </c>
      <c r="C4" s="208"/>
      <c r="D4" s="208"/>
      <c r="E4" s="209" t="str">
        <f ca="1">"2079/"&amp;"11/"&amp;INT(MID(CELL("filename",G6),FIND("]",CELL("filename",G6))+1,200))</f>
        <v>2079/11/17</v>
      </c>
      <c r="F4" s="209"/>
      <c r="G4" s="209"/>
      <c r="H4" s="209" t="str">
        <f ca="1">TEXT(E4,"dddd")</f>
        <v>Friday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495</v>
      </c>
      <c r="C5" s="30">
        <f t="shared" si="0"/>
        <v>450.3</v>
      </c>
      <c r="D5" s="30">
        <f t="shared" si="0"/>
        <v>453.70000000000005</v>
      </c>
      <c r="E5" s="30">
        <f t="shared" si="0"/>
        <v>465.40000000000003</v>
      </c>
      <c r="F5" s="30">
        <f t="shared" si="0"/>
        <v>544</v>
      </c>
      <c r="G5" s="30">
        <f t="shared" si="0"/>
        <v>545</v>
      </c>
      <c r="H5" s="30">
        <f t="shared" si="0"/>
        <v>483</v>
      </c>
      <c r="I5" s="30">
        <f t="shared" si="0"/>
        <v>429</v>
      </c>
      <c r="J5" s="30">
        <f t="shared" si="0"/>
        <v>340.7</v>
      </c>
      <c r="K5" s="30">
        <f t="shared" si="0"/>
        <v>308.60000000000002</v>
      </c>
      <c r="L5" s="30">
        <f t="shared" si="0"/>
        <v>346</v>
      </c>
      <c r="M5" s="30">
        <f t="shared" si="0"/>
        <v>422.7</v>
      </c>
      <c r="N5" s="30">
        <f t="shared" si="0"/>
        <v>496</v>
      </c>
      <c r="O5" s="30">
        <f t="shared" si="0"/>
        <v>560</v>
      </c>
      <c r="P5" s="30">
        <f t="shared" si="0"/>
        <v>496</v>
      </c>
      <c r="Q5" s="30">
        <f t="shared" si="0"/>
        <v>534.20000000000005</v>
      </c>
      <c r="R5" s="30">
        <f t="shared" si="0"/>
        <v>552.20000000000005</v>
      </c>
      <c r="S5" s="30">
        <f t="shared" si="0"/>
        <v>570.20000000000005</v>
      </c>
      <c r="T5" s="30">
        <f t="shared" si="0"/>
        <v>615</v>
      </c>
      <c r="U5" s="30">
        <f t="shared" si="0"/>
        <v>473</v>
      </c>
      <c r="V5" s="30">
        <f t="shared" si="0"/>
        <v>485</v>
      </c>
      <c r="W5" s="30">
        <f t="shared" si="0"/>
        <v>531</v>
      </c>
      <c r="X5" s="30">
        <f t="shared" si="0"/>
        <v>565</v>
      </c>
      <c r="Y5" s="30">
        <f t="shared" si="0"/>
        <v>345.1</v>
      </c>
      <c r="Z5" s="30">
        <f t="shared" si="0"/>
        <v>340</v>
      </c>
      <c r="AA5" s="30">
        <f t="shared" si="0"/>
        <v>374</v>
      </c>
      <c r="AB5" s="30">
        <f t="shared" si="0"/>
        <v>374</v>
      </c>
      <c r="AC5" s="30">
        <f t="shared" si="0"/>
        <v>523.69999999999993</v>
      </c>
      <c r="AD5" s="30">
        <f t="shared" si="0"/>
        <v>555.20000000000005</v>
      </c>
      <c r="AE5" s="30">
        <f t="shared" si="0"/>
        <v>530.6</v>
      </c>
      <c r="AF5" s="30">
        <f>B82</f>
        <v>467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1512MW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Load=960</v>
      </c>
      <c r="B7" s="35">
        <f t="shared" ref="B7:AF7" si="1">B89</f>
        <v>998.04</v>
      </c>
      <c r="C7" s="35">
        <f t="shared" si="1"/>
        <v>976.04</v>
      </c>
      <c r="D7" s="35">
        <f t="shared" si="1"/>
        <v>959.54</v>
      </c>
      <c r="E7" s="35">
        <f t="shared" si="1"/>
        <v>960.74</v>
      </c>
      <c r="F7" s="35">
        <f t="shared" si="1"/>
        <v>972.54</v>
      </c>
      <c r="G7" s="35">
        <f t="shared" si="1"/>
        <v>1034.74</v>
      </c>
      <c r="H7" s="35">
        <f t="shared" si="1"/>
        <v>1084.54</v>
      </c>
      <c r="I7" s="35">
        <f t="shared" si="1"/>
        <v>1133.44</v>
      </c>
      <c r="J7" s="35">
        <f t="shared" si="1"/>
        <v>1257.74</v>
      </c>
      <c r="K7" s="35">
        <f t="shared" si="1"/>
        <v>1303.1400000000001</v>
      </c>
      <c r="L7" s="35">
        <f t="shared" si="1"/>
        <v>1512.44</v>
      </c>
      <c r="M7" s="35">
        <f t="shared" si="1"/>
        <v>1467.14</v>
      </c>
      <c r="N7" s="35">
        <f>N89</f>
        <v>1391.04</v>
      </c>
      <c r="O7" s="35">
        <f t="shared" si="1"/>
        <v>1347.94</v>
      </c>
      <c r="P7" s="35">
        <f t="shared" si="1"/>
        <v>1382.04</v>
      </c>
      <c r="Q7" s="35">
        <f t="shared" si="1"/>
        <v>1224.74</v>
      </c>
      <c r="R7" s="35">
        <f t="shared" si="1"/>
        <v>1217.94</v>
      </c>
      <c r="S7" s="35">
        <f t="shared" si="1"/>
        <v>1231.04</v>
      </c>
      <c r="T7" s="35">
        <f t="shared" si="1"/>
        <v>1263.04</v>
      </c>
      <c r="U7" s="35">
        <f t="shared" si="1"/>
        <v>1307.24</v>
      </c>
      <c r="V7" s="35">
        <f t="shared" si="1"/>
        <v>1276.24</v>
      </c>
      <c r="W7" s="35">
        <f t="shared" si="1"/>
        <v>1207.74</v>
      </c>
      <c r="X7" s="35">
        <f t="shared" si="1"/>
        <v>1447.6399999999999</v>
      </c>
      <c r="Y7" s="35">
        <f t="shared" si="1"/>
        <v>1641.94</v>
      </c>
      <c r="Z7" s="35">
        <f t="shared" si="1"/>
        <v>1594.04</v>
      </c>
      <c r="AA7" s="35">
        <f t="shared" si="1"/>
        <v>1523.44</v>
      </c>
      <c r="AB7" s="35">
        <f t="shared" si="1"/>
        <v>1468.54</v>
      </c>
      <c r="AC7" s="35">
        <f t="shared" si="1"/>
        <v>1408.54</v>
      </c>
      <c r="AD7" s="35">
        <f t="shared" si="1"/>
        <v>1312.84</v>
      </c>
      <c r="AE7" s="35">
        <f t="shared" si="1"/>
        <v>1136.94</v>
      </c>
      <c r="AF7" s="35">
        <f t="shared" si="1"/>
        <v>1046.44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14.1</v>
      </c>
      <c r="C12" s="45">
        <v>14.1</v>
      </c>
      <c r="D12" s="45">
        <v>14.1</v>
      </c>
      <c r="E12" s="45">
        <v>14.1</v>
      </c>
      <c r="F12" s="45">
        <v>14.1</v>
      </c>
      <c r="G12" s="45">
        <v>14.1</v>
      </c>
      <c r="H12" s="45">
        <v>14.1</v>
      </c>
      <c r="I12" s="45">
        <v>14.1</v>
      </c>
      <c r="J12" s="45">
        <v>14.1</v>
      </c>
      <c r="K12" s="45">
        <v>14.1</v>
      </c>
      <c r="L12" s="45">
        <v>14.1</v>
      </c>
      <c r="M12" s="45">
        <v>14.1</v>
      </c>
      <c r="N12" s="45">
        <v>14.1</v>
      </c>
      <c r="O12" s="45">
        <v>14.4</v>
      </c>
      <c r="P12" s="45">
        <v>14.4</v>
      </c>
      <c r="Q12" s="45">
        <v>14.4</v>
      </c>
      <c r="R12" s="45">
        <v>14.5</v>
      </c>
      <c r="S12" s="45">
        <v>14.5</v>
      </c>
      <c r="T12" s="45">
        <v>14.5</v>
      </c>
      <c r="U12" s="45">
        <v>14.5</v>
      </c>
      <c r="V12" s="45">
        <v>14.5</v>
      </c>
      <c r="W12" s="45">
        <v>14.5</v>
      </c>
      <c r="X12" s="45">
        <v>14.5</v>
      </c>
      <c r="Y12" s="45">
        <v>14.5</v>
      </c>
      <c r="Z12" s="45">
        <v>14.5</v>
      </c>
      <c r="AA12" s="45">
        <v>14.5</v>
      </c>
      <c r="AB12" s="45">
        <v>14.5</v>
      </c>
      <c r="AC12" s="45">
        <v>14.5</v>
      </c>
      <c r="AD12" s="45">
        <v>14.2</v>
      </c>
      <c r="AE12" s="45">
        <v>14.3</v>
      </c>
      <c r="AF12" s="45">
        <v>15.2</v>
      </c>
      <c r="AG12" s="46">
        <v>52.4</v>
      </c>
      <c r="AH12" s="47">
        <f t="shared" si="2"/>
        <v>15.2</v>
      </c>
      <c r="AI12" s="48">
        <f t="shared" si="3"/>
        <v>14.1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30.7</v>
      </c>
      <c r="C13" s="45">
        <v>30.7</v>
      </c>
      <c r="D13" s="45">
        <v>30.7</v>
      </c>
      <c r="E13" s="45">
        <v>30.7</v>
      </c>
      <c r="F13" s="45">
        <v>30.7</v>
      </c>
      <c r="G13" s="45">
        <v>30.7</v>
      </c>
      <c r="H13" s="45">
        <v>30.7</v>
      </c>
      <c r="I13" s="45">
        <v>30.7</v>
      </c>
      <c r="J13" s="45">
        <v>30.7</v>
      </c>
      <c r="K13" s="45">
        <v>30.7</v>
      </c>
      <c r="L13" s="45">
        <v>30.7</v>
      </c>
      <c r="M13" s="45">
        <v>30.7</v>
      </c>
      <c r="N13" s="45">
        <v>25</v>
      </c>
      <c r="O13" s="45">
        <v>25</v>
      </c>
      <c r="P13" s="45">
        <v>25</v>
      </c>
      <c r="Q13" s="45">
        <v>25</v>
      </c>
      <c r="R13" s="45">
        <v>25</v>
      </c>
      <c r="S13" s="45">
        <v>25</v>
      </c>
      <c r="T13" s="45">
        <v>25</v>
      </c>
      <c r="U13" s="45">
        <v>25</v>
      </c>
      <c r="V13" s="45">
        <v>25</v>
      </c>
      <c r="W13" s="45">
        <v>25</v>
      </c>
      <c r="X13" s="45">
        <v>25</v>
      </c>
      <c r="Y13" s="45">
        <v>25</v>
      </c>
      <c r="Z13" s="45">
        <v>25</v>
      </c>
      <c r="AA13" s="45">
        <v>25</v>
      </c>
      <c r="AB13" s="45">
        <v>25</v>
      </c>
      <c r="AC13" s="45">
        <v>25</v>
      </c>
      <c r="AD13" s="45">
        <v>25</v>
      </c>
      <c r="AE13" s="45">
        <v>25</v>
      </c>
      <c r="AF13" s="45">
        <v>25</v>
      </c>
      <c r="AG13" s="50">
        <v>50</v>
      </c>
      <c r="AH13" s="47">
        <f t="shared" si="2"/>
        <v>30.7</v>
      </c>
      <c r="AI13" s="48">
        <f t="shared" si="3"/>
        <v>25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15.5</v>
      </c>
      <c r="P14" s="45">
        <v>15.5</v>
      </c>
      <c r="Q14" s="45">
        <v>15.5</v>
      </c>
      <c r="R14" s="45">
        <v>14.8</v>
      </c>
      <c r="S14" s="45">
        <v>14.8</v>
      </c>
      <c r="T14" s="45">
        <v>14.8</v>
      </c>
      <c r="U14" s="45">
        <v>14.8</v>
      </c>
      <c r="V14" s="45">
        <v>14.8</v>
      </c>
      <c r="W14" s="45">
        <v>14.8</v>
      </c>
      <c r="X14" s="45">
        <v>14.8</v>
      </c>
      <c r="Y14" s="45">
        <v>14.8</v>
      </c>
      <c r="Z14" s="45">
        <v>14.8</v>
      </c>
      <c r="AA14" s="45">
        <v>14.8</v>
      </c>
      <c r="AB14" s="45">
        <v>14.8</v>
      </c>
      <c r="AC14" s="45">
        <v>14.8</v>
      </c>
      <c r="AD14" s="45">
        <v>19.2</v>
      </c>
      <c r="AE14" s="45">
        <v>19.2</v>
      </c>
      <c r="AF14" s="45">
        <v>15.6</v>
      </c>
      <c r="AG14" s="50">
        <v>45</v>
      </c>
      <c r="AH14" s="47">
        <f t="shared" si="2"/>
        <v>19.2</v>
      </c>
      <c r="AI14" s="48">
        <f t="shared" si="3"/>
        <v>14.8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9</v>
      </c>
      <c r="C15" s="45">
        <v>9</v>
      </c>
      <c r="D15" s="45">
        <v>9</v>
      </c>
      <c r="E15" s="45">
        <v>9</v>
      </c>
      <c r="F15" s="45">
        <v>9</v>
      </c>
      <c r="G15" s="45">
        <v>9</v>
      </c>
      <c r="H15" s="45">
        <v>9</v>
      </c>
      <c r="I15" s="45">
        <v>9</v>
      </c>
      <c r="J15" s="45">
        <v>9</v>
      </c>
      <c r="K15" s="45">
        <v>9</v>
      </c>
      <c r="L15" s="45">
        <v>9</v>
      </c>
      <c r="M15" s="45">
        <v>9</v>
      </c>
      <c r="N15" s="45">
        <v>9</v>
      </c>
      <c r="O15" s="45">
        <v>8</v>
      </c>
      <c r="P15" s="45">
        <v>8</v>
      </c>
      <c r="Q15" s="45">
        <v>8</v>
      </c>
      <c r="R15" s="45">
        <v>0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9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2"/>
        <v>12.5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8.1999999999999993</v>
      </c>
      <c r="C18" s="45">
        <v>8.1999999999999993</v>
      </c>
      <c r="D18" s="45">
        <v>8.1999999999999993</v>
      </c>
      <c r="E18" s="45">
        <v>8.1999999999999993</v>
      </c>
      <c r="F18" s="45">
        <v>8.1999999999999993</v>
      </c>
      <c r="G18" s="45">
        <v>8.1999999999999993</v>
      </c>
      <c r="H18" s="45">
        <v>8.1999999999999993</v>
      </c>
      <c r="I18" s="45">
        <v>8.1999999999999993</v>
      </c>
      <c r="J18" s="45">
        <v>8.1999999999999993</v>
      </c>
      <c r="K18" s="45">
        <v>8.1999999999999993</v>
      </c>
      <c r="L18" s="45">
        <v>8.1999999999999993</v>
      </c>
      <c r="M18" s="45">
        <v>8.1999999999999993</v>
      </c>
      <c r="N18" s="45">
        <v>8.1999999999999993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7.1</v>
      </c>
      <c r="AE18" s="45">
        <v>7.2</v>
      </c>
      <c r="AF18" s="45">
        <v>7.2</v>
      </c>
      <c r="AG18" s="51">
        <v>30</v>
      </c>
      <c r="AH18" s="47">
        <f t="shared" si="2"/>
        <v>8.1999999999999993</v>
      </c>
      <c r="AI18" s="48">
        <f t="shared" si="3"/>
        <v>7.1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9</v>
      </c>
      <c r="AF19" s="45">
        <v>8.4</v>
      </c>
      <c r="AG19" s="50">
        <v>24.2</v>
      </c>
      <c r="AH19" s="47">
        <f t="shared" si="2"/>
        <v>9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</v>
      </c>
      <c r="C22" s="45">
        <v>9.6</v>
      </c>
      <c r="D22" s="45">
        <v>9.6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9.6</v>
      </c>
      <c r="N22" s="45">
        <v>9.6</v>
      </c>
      <c r="O22" s="45">
        <v>7.9</v>
      </c>
      <c r="P22" s="45">
        <v>7.9</v>
      </c>
      <c r="Q22" s="45">
        <v>7.9</v>
      </c>
      <c r="R22" s="45">
        <v>7.9</v>
      </c>
      <c r="S22" s="45">
        <v>7.9</v>
      </c>
      <c r="T22" s="45">
        <v>7.9</v>
      </c>
      <c r="U22" s="45">
        <v>7.9</v>
      </c>
      <c r="V22" s="45">
        <v>7.9</v>
      </c>
      <c r="W22" s="45">
        <v>7.9</v>
      </c>
      <c r="X22" s="45">
        <v>7.9</v>
      </c>
      <c r="Y22" s="45">
        <v>7.9</v>
      </c>
      <c r="Z22" s="45">
        <v>7.9</v>
      </c>
      <c r="AA22" s="45">
        <v>7.9</v>
      </c>
      <c r="AB22" s="45">
        <v>7.9</v>
      </c>
      <c r="AC22" s="45">
        <v>7.9</v>
      </c>
      <c r="AD22" s="45">
        <v>8.9</v>
      </c>
      <c r="AE22" s="45">
        <v>8.9</v>
      </c>
      <c r="AF22" s="45">
        <v>8.9</v>
      </c>
      <c r="AG22" s="50">
        <v>25</v>
      </c>
      <c r="AH22" s="47">
        <f t="shared" si="2"/>
        <v>9.6</v>
      </c>
      <c r="AI22" s="48">
        <f t="shared" si="3"/>
        <v>7.9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6.6</v>
      </c>
      <c r="C26" s="45">
        <v>6.6</v>
      </c>
      <c r="D26" s="45">
        <v>6.6</v>
      </c>
      <c r="E26" s="45">
        <v>6.6</v>
      </c>
      <c r="F26" s="45">
        <v>6.6</v>
      </c>
      <c r="G26" s="45">
        <v>6.6</v>
      </c>
      <c r="H26" s="45">
        <v>6.6</v>
      </c>
      <c r="I26" s="45">
        <v>6.6</v>
      </c>
      <c r="J26" s="45">
        <v>6.6</v>
      </c>
      <c r="K26" s="45">
        <v>6.6</v>
      </c>
      <c r="L26" s="45">
        <v>6.6</v>
      </c>
      <c r="M26" s="45">
        <v>6.6</v>
      </c>
      <c r="N26" s="45">
        <v>6.6</v>
      </c>
      <c r="O26" s="45">
        <v>6.6</v>
      </c>
      <c r="P26" s="45">
        <v>6.6</v>
      </c>
      <c r="Q26" s="45">
        <v>6.6</v>
      </c>
      <c r="R26" s="45">
        <v>6.6</v>
      </c>
      <c r="S26" s="45">
        <v>6.6</v>
      </c>
      <c r="T26" s="45">
        <v>6.6</v>
      </c>
      <c r="U26" s="45">
        <v>6.6</v>
      </c>
      <c r="V26" s="45">
        <v>6.6</v>
      </c>
      <c r="W26" s="45">
        <v>6.6</v>
      </c>
      <c r="X26" s="45">
        <v>6.6</v>
      </c>
      <c r="Y26" s="45">
        <v>6.6</v>
      </c>
      <c r="Z26" s="45">
        <v>6.6</v>
      </c>
      <c r="AA26" s="45">
        <v>6.6</v>
      </c>
      <c r="AB26" s="45">
        <v>6.6</v>
      </c>
      <c r="AC26" s="45">
        <v>6.6</v>
      </c>
      <c r="AD26" s="45">
        <v>7.1</v>
      </c>
      <c r="AE26" s="45">
        <v>7.3</v>
      </c>
      <c r="AF26" s="45">
        <v>7.3</v>
      </c>
      <c r="AG26" s="50">
        <v>23.5</v>
      </c>
      <c r="AH26" s="47">
        <f t="shared" si="2"/>
        <v>7.3</v>
      </c>
      <c r="AI26" s="48">
        <f t="shared" si="3"/>
        <v>6.6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11.1</v>
      </c>
      <c r="C30" s="45">
        <v>11.1</v>
      </c>
      <c r="D30" s="45">
        <v>11.1</v>
      </c>
      <c r="E30" s="45">
        <v>11.1</v>
      </c>
      <c r="F30" s="45">
        <v>11.1</v>
      </c>
      <c r="G30" s="45">
        <v>11.1</v>
      </c>
      <c r="H30" s="45">
        <v>11.1</v>
      </c>
      <c r="I30" s="45">
        <v>11.1</v>
      </c>
      <c r="J30" s="45">
        <v>11.1</v>
      </c>
      <c r="K30" s="45">
        <v>11.1</v>
      </c>
      <c r="L30" s="45">
        <v>11.1</v>
      </c>
      <c r="M30" s="45">
        <v>11.1</v>
      </c>
      <c r="N30" s="45">
        <v>11.1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11</v>
      </c>
      <c r="AF30" s="45">
        <v>11</v>
      </c>
      <c r="AG30" s="50">
        <v>22</v>
      </c>
      <c r="AH30" s="47">
        <f t="shared" si="2"/>
        <v>11.1</v>
      </c>
      <c r="AI30" s="48">
        <f t="shared" si="3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8.5</v>
      </c>
      <c r="AA42" s="45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2"/>
        <v>8.5</v>
      </c>
      <c r="AI42" s="48">
        <f t="shared" si="3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0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372.3</v>
      </c>
      <c r="C48" s="60">
        <f t="shared" si="4"/>
        <v>372.3</v>
      </c>
      <c r="D48" s="60">
        <f t="shared" si="4"/>
        <v>372.3</v>
      </c>
      <c r="E48" s="60">
        <f t="shared" si="4"/>
        <v>372.3</v>
      </c>
      <c r="F48" s="60">
        <f t="shared" si="4"/>
        <v>372.3</v>
      </c>
      <c r="G48" s="60">
        <f t="shared" si="4"/>
        <v>372.3</v>
      </c>
      <c r="H48" s="60">
        <f t="shared" si="4"/>
        <v>372.3</v>
      </c>
      <c r="I48" s="60">
        <f t="shared" si="4"/>
        <v>372.3</v>
      </c>
      <c r="J48" s="60">
        <f t="shared" si="4"/>
        <v>372.3</v>
      </c>
      <c r="K48" s="60">
        <f t="shared" si="4"/>
        <v>372.3</v>
      </c>
      <c r="L48" s="60">
        <f t="shared" si="4"/>
        <v>372.3</v>
      </c>
      <c r="M48" s="60">
        <f t="shared" si="4"/>
        <v>372.3</v>
      </c>
      <c r="N48" s="60">
        <f t="shared" si="4"/>
        <v>366.6</v>
      </c>
      <c r="O48" s="60">
        <f>SUM(O12:O46)</f>
        <v>361.9</v>
      </c>
      <c r="P48" s="60">
        <f t="shared" ref="P48:Q48" si="5">SUM(P12:P46)</f>
        <v>361.9</v>
      </c>
      <c r="Q48" s="60">
        <f t="shared" si="5"/>
        <v>361.9</v>
      </c>
      <c r="R48" s="60">
        <f t="shared" si="4"/>
        <v>349.29999999999995</v>
      </c>
      <c r="S48" s="60">
        <f t="shared" si="4"/>
        <v>361.29999999999995</v>
      </c>
      <c r="T48" s="60">
        <f t="shared" si="4"/>
        <v>361.29999999999995</v>
      </c>
      <c r="U48" s="60">
        <f t="shared" si="4"/>
        <v>361.29999999999995</v>
      </c>
      <c r="V48" s="60">
        <f t="shared" si="4"/>
        <v>361.29999999999995</v>
      </c>
      <c r="W48" s="60">
        <f t="shared" si="4"/>
        <v>361.29999999999995</v>
      </c>
      <c r="X48" s="60">
        <f t="shared" si="4"/>
        <v>361.29999999999995</v>
      </c>
      <c r="Y48" s="60">
        <f>SUM(Y11:Y46)</f>
        <v>386.3</v>
      </c>
      <c r="Z48" s="60">
        <f t="shared" si="4"/>
        <v>361.29999999999995</v>
      </c>
      <c r="AA48" s="60">
        <f t="shared" si="4"/>
        <v>361.29999999999995</v>
      </c>
      <c r="AB48" s="60">
        <f t="shared" si="4"/>
        <v>361.29999999999995</v>
      </c>
      <c r="AC48" s="60">
        <f t="shared" ref="AC48:AD48" si="6">SUM(AC12:AC46)</f>
        <v>361.29999999999995</v>
      </c>
      <c r="AD48" s="60">
        <f t="shared" si="6"/>
        <v>366.1</v>
      </c>
      <c r="AE48" s="60">
        <f t="shared" si="4"/>
        <v>370.9</v>
      </c>
      <c r="AF48" s="60">
        <f t="shared" ref="AF48" si="7">SUM(AF12:AF46)</f>
        <v>367.6</v>
      </c>
      <c r="AG48" s="61">
        <f t="shared" si="4"/>
        <v>875.68</v>
      </c>
      <c r="AH48" s="47">
        <f t="shared" si="2"/>
        <v>386.3</v>
      </c>
      <c r="AI48" s="48">
        <f t="shared" si="3"/>
        <v>349.29999999999995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50</v>
      </c>
      <c r="J49" s="45">
        <v>180</v>
      </c>
      <c r="K49" s="45">
        <v>240</v>
      </c>
      <c r="L49" s="45">
        <v>320</v>
      </c>
      <c r="M49" s="63">
        <v>210</v>
      </c>
      <c r="N49" s="63">
        <v>150</v>
      </c>
      <c r="O49" s="63">
        <v>90</v>
      </c>
      <c r="P49" s="63">
        <v>40</v>
      </c>
      <c r="Q49" s="63">
        <v>90</v>
      </c>
      <c r="R49" s="45">
        <v>45</v>
      </c>
      <c r="S49" s="45">
        <v>45</v>
      </c>
      <c r="T49" s="45">
        <v>76</v>
      </c>
      <c r="U49" s="45">
        <v>0</v>
      </c>
      <c r="V49" s="45">
        <v>110</v>
      </c>
      <c r="W49" s="45">
        <v>80</v>
      </c>
      <c r="X49" s="45">
        <v>60</v>
      </c>
      <c r="Y49" s="45">
        <v>130</v>
      </c>
      <c r="Z49" s="45">
        <v>320</v>
      </c>
      <c r="AA49" s="45">
        <v>280</v>
      </c>
      <c r="AB49" s="45">
        <v>240</v>
      </c>
      <c r="AC49" s="45">
        <v>240</v>
      </c>
      <c r="AD49" s="45">
        <v>50</v>
      </c>
      <c r="AE49" s="45">
        <v>60</v>
      </c>
      <c r="AF49" s="45">
        <v>15</v>
      </c>
      <c r="AG49" s="51">
        <v>456</v>
      </c>
      <c r="AH49" s="47">
        <f t="shared" si="2"/>
        <v>320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11.2</v>
      </c>
      <c r="C51" s="67">
        <v>11.2</v>
      </c>
      <c r="D51" s="67">
        <v>11.2</v>
      </c>
      <c r="E51" s="67">
        <v>11.2</v>
      </c>
      <c r="F51" s="67">
        <v>11.2</v>
      </c>
      <c r="G51" s="67">
        <v>11.2</v>
      </c>
      <c r="H51" s="67">
        <v>11.2</v>
      </c>
      <c r="I51" s="67">
        <v>11.2</v>
      </c>
      <c r="J51" s="67">
        <v>11.2</v>
      </c>
      <c r="K51" s="67">
        <v>11.2</v>
      </c>
      <c r="L51" s="67">
        <v>11.2</v>
      </c>
      <c r="M51" s="67">
        <v>11.2</v>
      </c>
      <c r="N51" s="67">
        <v>11.2</v>
      </c>
      <c r="O51" s="67">
        <v>11.2</v>
      </c>
      <c r="P51" s="67">
        <v>11.2</v>
      </c>
      <c r="Q51" s="67">
        <v>11.2</v>
      </c>
      <c r="R51" s="67">
        <v>11.2</v>
      </c>
      <c r="S51" s="67">
        <v>11.2</v>
      </c>
      <c r="T51" s="67">
        <v>11.2</v>
      </c>
      <c r="U51" s="67">
        <v>11.2</v>
      </c>
      <c r="V51" s="67">
        <v>11.2</v>
      </c>
      <c r="W51" s="67">
        <v>11.2</v>
      </c>
      <c r="X51" s="67">
        <v>11.2</v>
      </c>
      <c r="Y51" s="67">
        <v>11.2</v>
      </c>
      <c r="Z51" s="67">
        <v>11.2</v>
      </c>
      <c r="AA51" s="67">
        <v>11.2</v>
      </c>
      <c r="AB51" s="67">
        <v>11.2</v>
      </c>
      <c r="AC51" s="67">
        <v>11.2</v>
      </c>
      <c r="AD51" s="67">
        <v>11.2</v>
      </c>
      <c r="AE51" s="67">
        <v>11.2</v>
      </c>
      <c r="AF51" s="67">
        <v>11.2</v>
      </c>
      <c r="AG51" s="68">
        <v>22.1</v>
      </c>
      <c r="AH51" s="47">
        <f t="shared" si="2"/>
        <v>11.2</v>
      </c>
      <c r="AI51" s="48">
        <f t="shared" si="3"/>
        <v>11.2</v>
      </c>
      <c r="AK51" s="49"/>
    </row>
    <row r="52" spans="1:41" ht="15.75" thickBot="1" x14ac:dyDescent="0.3">
      <c r="A52" s="69" t="s">
        <v>56</v>
      </c>
      <c r="B52" s="60">
        <f t="shared" ref="B52:AG52" si="8">SUM(B49:B51)</f>
        <v>38.200000000000003</v>
      </c>
      <c r="C52" s="60">
        <f t="shared" si="8"/>
        <v>38.200000000000003</v>
      </c>
      <c r="D52" s="60">
        <f t="shared" si="8"/>
        <v>38.200000000000003</v>
      </c>
      <c r="E52" s="60">
        <f t="shared" si="8"/>
        <v>38.200000000000003</v>
      </c>
      <c r="F52" s="60">
        <f t="shared" si="8"/>
        <v>38.200000000000003</v>
      </c>
      <c r="G52" s="60">
        <f t="shared" si="8"/>
        <v>38.200000000000003</v>
      </c>
      <c r="H52" s="60">
        <f t="shared" si="8"/>
        <v>38.200000000000003</v>
      </c>
      <c r="I52" s="60">
        <f t="shared" si="8"/>
        <v>88.2</v>
      </c>
      <c r="J52" s="60">
        <f t="shared" si="8"/>
        <v>218.2</v>
      </c>
      <c r="K52" s="60">
        <f t="shared" si="8"/>
        <v>278.2</v>
      </c>
      <c r="L52" s="60">
        <f t="shared" si="8"/>
        <v>358.2</v>
      </c>
      <c r="M52" s="60">
        <f t="shared" si="8"/>
        <v>248.2</v>
      </c>
      <c r="N52" s="60">
        <f t="shared" si="8"/>
        <v>188.2</v>
      </c>
      <c r="O52" s="60">
        <f t="shared" si="8"/>
        <v>128.19999999999999</v>
      </c>
      <c r="P52" s="60">
        <f t="shared" ref="P52:R52" si="9">SUM(P49:P51)</f>
        <v>78.2</v>
      </c>
      <c r="Q52" s="60">
        <f t="shared" si="9"/>
        <v>128.19999999999999</v>
      </c>
      <c r="R52" s="60">
        <f t="shared" si="9"/>
        <v>83.2</v>
      </c>
      <c r="S52" s="60">
        <f t="shared" si="8"/>
        <v>83.2</v>
      </c>
      <c r="T52" s="60">
        <f t="shared" si="8"/>
        <v>114.2</v>
      </c>
      <c r="U52" s="60">
        <f t="shared" si="8"/>
        <v>38.200000000000003</v>
      </c>
      <c r="V52" s="60">
        <f t="shared" si="8"/>
        <v>148.19999999999999</v>
      </c>
      <c r="W52" s="60">
        <f t="shared" si="8"/>
        <v>118.2</v>
      </c>
      <c r="X52" s="60">
        <f t="shared" si="8"/>
        <v>98.2</v>
      </c>
      <c r="Y52" s="60">
        <f t="shared" si="8"/>
        <v>168.2</v>
      </c>
      <c r="Z52" s="60">
        <f t="shared" si="8"/>
        <v>358.2</v>
      </c>
      <c r="AA52" s="60">
        <f t="shared" si="8"/>
        <v>318.2</v>
      </c>
      <c r="AB52" s="60">
        <f t="shared" si="8"/>
        <v>278.2</v>
      </c>
      <c r="AC52" s="60">
        <f t="shared" ref="AC52:AD52" si="10">SUM(AC49:AC51)</f>
        <v>278.2</v>
      </c>
      <c r="AD52" s="60">
        <f t="shared" si="10"/>
        <v>88.2</v>
      </c>
      <c r="AE52" s="60">
        <f t="shared" si="8"/>
        <v>98.2</v>
      </c>
      <c r="AF52" s="60">
        <f t="shared" ref="AF52" si="11">SUM(AF49:AF51)</f>
        <v>53.2</v>
      </c>
      <c r="AG52" s="61">
        <f t="shared" si="8"/>
        <v>538.1</v>
      </c>
      <c r="AH52" s="47">
        <f t="shared" si="2"/>
        <v>358.2</v>
      </c>
      <c r="AI52" s="48">
        <f t="shared" si="3"/>
        <v>38.200000000000003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20.100000000000001</v>
      </c>
      <c r="I53" s="45">
        <v>62.6</v>
      </c>
      <c r="J53" s="45">
        <v>83.8</v>
      </c>
      <c r="K53" s="45">
        <v>131.80000000000001</v>
      </c>
      <c r="L53" s="45">
        <v>142.4</v>
      </c>
      <c r="M53" s="45">
        <v>141.5</v>
      </c>
      <c r="N53" s="45">
        <v>109.1</v>
      </c>
      <c r="O53" s="45">
        <v>60.4</v>
      </c>
      <c r="P53" s="45">
        <v>60.4</v>
      </c>
      <c r="Q53" s="45">
        <v>60.4</v>
      </c>
      <c r="R53" s="45">
        <v>86.1</v>
      </c>
      <c r="S53" s="45">
        <v>61</v>
      </c>
      <c r="T53" s="45">
        <v>44</v>
      </c>
      <c r="U53" s="45">
        <v>47</v>
      </c>
      <c r="V53" s="45">
        <v>61</v>
      </c>
      <c r="W53" s="45">
        <v>61</v>
      </c>
      <c r="X53" s="45">
        <v>92.3</v>
      </c>
      <c r="Y53" s="45">
        <v>122</v>
      </c>
      <c r="Z53" s="45">
        <v>122</v>
      </c>
      <c r="AA53" s="45">
        <v>110</v>
      </c>
      <c r="AB53" s="45">
        <v>76.5</v>
      </c>
      <c r="AC53" s="45">
        <v>76.5</v>
      </c>
      <c r="AD53" s="45">
        <v>60.3</v>
      </c>
      <c r="AE53" s="45">
        <v>0</v>
      </c>
      <c r="AF53" s="45">
        <v>0</v>
      </c>
      <c r="AG53" s="51">
        <v>144</v>
      </c>
      <c r="AH53" s="47">
        <f t="shared" si="2"/>
        <v>142.4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50</v>
      </c>
      <c r="C55" s="65">
        <v>0</v>
      </c>
      <c r="D55" s="65">
        <v>16.2</v>
      </c>
      <c r="E55" s="65">
        <v>16.3</v>
      </c>
      <c r="F55" s="65">
        <v>16.399999999999999</v>
      </c>
      <c r="G55" s="65">
        <v>0</v>
      </c>
      <c r="H55" s="65">
        <v>15.7</v>
      </c>
      <c r="I55" s="65">
        <v>34.1</v>
      </c>
      <c r="J55" s="65">
        <v>61.2</v>
      </c>
      <c r="K55" s="65">
        <v>69.900000000000006</v>
      </c>
      <c r="L55" s="65">
        <v>70.7</v>
      </c>
      <c r="M55" s="65">
        <v>69.3</v>
      </c>
      <c r="N55" s="65">
        <v>33.6</v>
      </c>
      <c r="O55" s="65">
        <v>34.1</v>
      </c>
      <c r="P55" s="65">
        <v>34.1</v>
      </c>
      <c r="Q55" s="65">
        <v>34.1</v>
      </c>
      <c r="R55" s="45">
        <v>34.1</v>
      </c>
      <c r="S55" s="45">
        <v>34.1</v>
      </c>
      <c r="T55" s="45">
        <v>34.1</v>
      </c>
      <c r="U55" s="45">
        <v>46</v>
      </c>
      <c r="V55" s="45">
        <v>33</v>
      </c>
      <c r="W55" s="45">
        <v>33</v>
      </c>
      <c r="X55" s="45">
        <v>52.1</v>
      </c>
      <c r="Y55" s="45">
        <v>70</v>
      </c>
      <c r="Z55" s="45">
        <v>53</v>
      </c>
      <c r="AA55" s="45">
        <v>51</v>
      </c>
      <c r="AB55" s="45">
        <v>59.9</v>
      </c>
      <c r="AC55" s="45">
        <v>59.9</v>
      </c>
      <c r="AD55" s="45">
        <v>52.5</v>
      </c>
      <c r="AE55" s="65">
        <v>23</v>
      </c>
      <c r="AF55" s="65">
        <v>16.399999999999999</v>
      </c>
      <c r="AG55" s="54">
        <v>69</v>
      </c>
      <c r="AH55" s="47">
        <f t="shared" si="2"/>
        <v>70.7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40.6</v>
      </c>
      <c r="C56" s="65">
        <v>40.6</v>
      </c>
      <c r="D56" s="56">
        <v>42.3</v>
      </c>
      <c r="E56" s="56">
        <v>40</v>
      </c>
      <c r="F56" s="56">
        <v>40</v>
      </c>
      <c r="G56" s="56">
        <v>40</v>
      </c>
      <c r="H56" s="56">
        <v>40</v>
      </c>
      <c r="I56" s="56">
        <v>40</v>
      </c>
      <c r="J56" s="56">
        <v>40</v>
      </c>
      <c r="K56" s="56">
        <v>40</v>
      </c>
      <c r="L56" s="56">
        <v>40</v>
      </c>
      <c r="M56" s="65">
        <v>40</v>
      </c>
      <c r="N56" s="65">
        <v>40</v>
      </c>
      <c r="O56" s="65">
        <v>40</v>
      </c>
      <c r="P56" s="65">
        <v>40</v>
      </c>
      <c r="Q56" s="65">
        <v>40</v>
      </c>
      <c r="R56" s="45">
        <v>40</v>
      </c>
      <c r="S56" s="45">
        <v>40</v>
      </c>
      <c r="T56" s="45">
        <v>40</v>
      </c>
      <c r="U56" s="45">
        <v>38.299999999999997</v>
      </c>
      <c r="V56" s="45">
        <v>38.299999999999997</v>
      </c>
      <c r="W56" s="45">
        <v>38.299999999999997</v>
      </c>
      <c r="X56" s="45">
        <v>38.299999999999997</v>
      </c>
      <c r="Y56" s="65">
        <v>38.299999999999997</v>
      </c>
      <c r="Z56" s="65">
        <v>38.299999999999997</v>
      </c>
      <c r="AA56" s="65">
        <v>40</v>
      </c>
      <c r="AB56" s="65">
        <v>40</v>
      </c>
      <c r="AC56" s="65">
        <v>40</v>
      </c>
      <c r="AD56" s="65">
        <v>40.1</v>
      </c>
      <c r="AE56" s="65">
        <v>40.1</v>
      </c>
      <c r="AF56" s="65">
        <v>40.1</v>
      </c>
      <c r="AG56" s="54">
        <v>60</v>
      </c>
      <c r="AH56" s="47">
        <f t="shared" si="2"/>
        <v>42.3</v>
      </c>
      <c r="AI56" s="48">
        <f t="shared" si="3"/>
        <v>38.299999999999997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56">
        <v>0</v>
      </c>
      <c r="E57" s="56">
        <v>0</v>
      </c>
      <c r="F57" s="56">
        <v>0</v>
      </c>
      <c r="G57" s="56">
        <v>0</v>
      </c>
      <c r="H57" s="56">
        <v>13</v>
      </c>
      <c r="I57" s="56">
        <v>13</v>
      </c>
      <c r="J57" s="56">
        <v>13</v>
      </c>
      <c r="K57" s="56">
        <v>30</v>
      </c>
      <c r="L57" s="56">
        <v>30</v>
      </c>
      <c r="M57" s="65">
        <v>28.6</v>
      </c>
      <c r="N57" s="65">
        <v>13</v>
      </c>
      <c r="O57" s="65">
        <v>13</v>
      </c>
      <c r="P57" s="65">
        <v>13</v>
      </c>
      <c r="Q57" s="65">
        <v>13</v>
      </c>
      <c r="R57" s="45">
        <v>0</v>
      </c>
      <c r="S57" s="45">
        <v>0</v>
      </c>
      <c r="T57" s="45">
        <v>0</v>
      </c>
      <c r="U57" s="45">
        <v>13</v>
      </c>
      <c r="V57" s="45">
        <v>13</v>
      </c>
      <c r="W57" s="45">
        <v>13</v>
      </c>
      <c r="X57" s="45">
        <v>25</v>
      </c>
      <c r="Y57" s="65">
        <v>25</v>
      </c>
      <c r="Z57" s="65">
        <v>29</v>
      </c>
      <c r="AA57" s="65">
        <v>29</v>
      </c>
      <c r="AB57" s="65">
        <v>28</v>
      </c>
      <c r="AC57" s="65">
        <v>28</v>
      </c>
      <c r="AD57" s="65">
        <v>13</v>
      </c>
      <c r="AE57" s="65">
        <v>0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65">
        <v>10</v>
      </c>
      <c r="N58" s="65">
        <v>10</v>
      </c>
      <c r="O58" s="65">
        <v>10</v>
      </c>
      <c r="P58" s="65">
        <v>10</v>
      </c>
      <c r="Q58" s="65">
        <v>10</v>
      </c>
      <c r="R58" s="65">
        <v>10</v>
      </c>
      <c r="S58" s="65">
        <v>10</v>
      </c>
      <c r="T58" s="65">
        <v>10</v>
      </c>
      <c r="U58" s="65">
        <v>10</v>
      </c>
      <c r="V58" s="65">
        <v>10</v>
      </c>
      <c r="W58" s="45">
        <v>0</v>
      </c>
      <c r="X58" s="4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7.9</v>
      </c>
      <c r="C59" s="65">
        <v>7.9</v>
      </c>
      <c r="D59" s="65">
        <v>13.5</v>
      </c>
      <c r="E59" s="65">
        <v>13.5</v>
      </c>
      <c r="F59" s="65">
        <v>13.5</v>
      </c>
      <c r="G59" s="65">
        <v>13.5</v>
      </c>
      <c r="H59" s="65">
        <v>13.5</v>
      </c>
      <c r="I59" s="65">
        <v>13.5</v>
      </c>
      <c r="J59" s="65">
        <v>13.5</v>
      </c>
      <c r="K59" s="65">
        <v>13.5</v>
      </c>
      <c r="L59" s="65">
        <v>13.5</v>
      </c>
      <c r="M59" s="65">
        <v>13.5</v>
      </c>
      <c r="N59" s="65">
        <v>13.5</v>
      </c>
      <c r="O59" s="65">
        <v>13.5</v>
      </c>
      <c r="P59" s="65">
        <v>13.5</v>
      </c>
      <c r="Q59" s="65">
        <v>13.5</v>
      </c>
      <c r="R59" s="65">
        <v>13.5</v>
      </c>
      <c r="S59" s="65">
        <v>13.5</v>
      </c>
      <c r="T59" s="65">
        <v>13.5</v>
      </c>
      <c r="U59" s="65">
        <v>13.5</v>
      </c>
      <c r="V59" s="65">
        <v>13.5</v>
      </c>
      <c r="W59" s="65">
        <v>13.5</v>
      </c>
      <c r="X59" s="65">
        <v>13.5</v>
      </c>
      <c r="Y59" s="65">
        <v>13.5</v>
      </c>
      <c r="Z59" s="65">
        <v>13.5</v>
      </c>
      <c r="AA59" s="65">
        <v>13.5</v>
      </c>
      <c r="AB59" s="65">
        <v>13.5</v>
      </c>
      <c r="AC59" s="65">
        <v>13.5</v>
      </c>
      <c r="AD59" s="65">
        <v>13.5</v>
      </c>
      <c r="AE59" s="65">
        <v>13.5</v>
      </c>
      <c r="AF59" s="65">
        <v>13.5</v>
      </c>
      <c r="AG59" s="54">
        <v>24</v>
      </c>
      <c r="AH59" s="47">
        <f t="shared" si="2"/>
        <v>13.5</v>
      </c>
      <c r="AI59" s="48">
        <f t="shared" si="3"/>
        <v>7.9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6.5</v>
      </c>
      <c r="C61" s="65">
        <v>6.5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6.5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</v>
      </c>
      <c r="C62" s="65">
        <v>3</v>
      </c>
      <c r="D62" s="65">
        <v>4.8</v>
      </c>
      <c r="E62" s="65">
        <v>4.8</v>
      </c>
      <c r="F62" s="65">
        <v>4.8</v>
      </c>
      <c r="G62" s="65">
        <v>4.8</v>
      </c>
      <c r="H62" s="65">
        <v>4.8</v>
      </c>
      <c r="I62" s="65">
        <v>4.8</v>
      </c>
      <c r="J62" s="65">
        <v>4.8</v>
      </c>
      <c r="K62" s="65">
        <v>4.8</v>
      </c>
      <c r="L62" s="65">
        <v>4.8</v>
      </c>
      <c r="M62" s="65">
        <v>4.8</v>
      </c>
      <c r="N62" s="65">
        <v>4.8</v>
      </c>
      <c r="O62" s="65">
        <v>4.8</v>
      </c>
      <c r="P62" s="65">
        <v>4.8</v>
      </c>
      <c r="Q62" s="65">
        <v>4.8</v>
      </c>
      <c r="R62" s="65">
        <v>4.8</v>
      </c>
      <c r="S62" s="65">
        <v>4.8</v>
      </c>
      <c r="T62" s="65">
        <v>4.8</v>
      </c>
      <c r="U62" s="65">
        <v>4.8</v>
      </c>
      <c r="V62" s="65">
        <v>4.8</v>
      </c>
      <c r="W62" s="65">
        <v>4.8</v>
      </c>
      <c r="X62" s="65">
        <v>4.8</v>
      </c>
      <c r="Y62" s="65">
        <v>3.1</v>
      </c>
      <c r="Z62" s="65">
        <v>3.1</v>
      </c>
      <c r="AA62" s="65">
        <v>3.1</v>
      </c>
      <c r="AB62" s="65">
        <v>3.1</v>
      </c>
      <c r="AC62" s="65">
        <v>3.1</v>
      </c>
      <c r="AD62" s="65">
        <v>3.1</v>
      </c>
      <c r="AE62" s="65">
        <v>3.1</v>
      </c>
      <c r="AF62" s="65">
        <v>3.1</v>
      </c>
      <c r="AG62" s="54">
        <v>14</v>
      </c>
      <c r="AH62" s="47">
        <f t="shared" si="2"/>
        <v>4.8</v>
      </c>
      <c r="AI62" s="48">
        <f t="shared" si="3"/>
        <v>3</v>
      </c>
      <c r="AK62" s="49"/>
    </row>
    <row r="63" spans="1:41" x14ac:dyDescent="0.25">
      <c r="A63" s="53" t="s">
        <v>67</v>
      </c>
      <c r="B63" s="65">
        <v>4.3</v>
      </c>
      <c r="C63" s="65">
        <v>4.3</v>
      </c>
      <c r="D63" s="65">
        <v>4.4000000000000004</v>
      </c>
      <c r="E63" s="65">
        <v>4.4000000000000004</v>
      </c>
      <c r="F63" s="65">
        <v>4.4000000000000004</v>
      </c>
      <c r="G63" s="65">
        <v>4.4000000000000004</v>
      </c>
      <c r="H63" s="65">
        <v>4.4000000000000004</v>
      </c>
      <c r="I63" s="65">
        <v>4.4000000000000004</v>
      </c>
      <c r="J63" s="65">
        <v>4.4000000000000004</v>
      </c>
      <c r="K63" s="65">
        <v>4.4000000000000004</v>
      </c>
      <c r="L63" s="65">
        <v>4.4000000000000004</v>
      </c>
      <c r="M63" s="65">
        <v>4.4000000000000004</v>
      </c>
      <c r="N63" s="65">
        <v>4.4000000000000004</v>
      </c>
      <c r="O63" s="65">
        <v>4.4000000000000004</v>
      </c>
      <c r="P63" s="65">
        <v>4.4000000000000004</v>
      </c>
      <c r="Q63" s="65">
        <v>4.4000000000000004</v>
      </c>
      <c r="R63" s="65">
        <v>4.4000000000000004</v>
      </c>
      <c r="S63" s="65">
        <v>4.4000000000000004</v>
      </c>
      <c r="T63" s="65">
        <v>4.4000000000000004</v>
      </c>
      <c r="U63" s="65">
        <v>4.4000000000000004</v>
      </c>
      <c r="V63" s="65">
        <v>4.4000000000000004</v>
      </c>
      <c r="W63" s="65">
        <v>4.4000000000000004</v>
      </c>
      <c r="X63" s="65">
        <v>4.4000000000000004</v>
      </c>
      <c r="Y63" s="65">
        <v>4.4000000000000004</v>
      </c>
      <c r="Z63" s="65">
        <v>4.4000000000000004</v>
      </c>
      <c r="AA63" s="65">
        <v>4.4000000000000004</v>
      </c>
      <c r="AB63" s="65">
        <v>4.4000000000000004</v>
      </c>
      <c r="AC63" s="65">
        <v>4.4000000000000004</v>
      </c>
      <c r="AD63" s="65">
        <v>4.4000000000000004</v>
      </c>
      <c r="AE63" s="65">
        <v>4.4000000000000004</v>
      </c>
      <c r="AF63" s="65">
        <v>4.4000000000000004</v>
      </c>
      <c r="AG63" s="54">
        <v>10.050000000000001</v>
      </c>
      <c r="AH63" s="47">
        <f t="shared" si="2"/>
        <v>4.4000000000000004</v>
      </c>
      <c r="AI63" s="48">
        <f t="shared" si="3"/>
        <v>4.3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12">SUM(B53:B65)</f>
        <v>120.54</v>
      </c>
      <c r="C66" s="60">
        <f t="shared" si="12"/>
        <v>70.540000000000006</v>
      </c>
      <c r="D66" s="60">
        <f t="shared" si="12"/>
        <v>98.740000000000009</v>
      </c>
      <c r="E66" s="60">
        <f t="shared" si="12"/>
        <v>96.54</v>
      </c>
      <c r="F66" s="60">
        <f t="shared" si="12"/>
        <v>96.640000000000015</v>
      </c>
      <c r="G66" s="60">
        <f t="shared" si="12"/>
        <v>80.240000000000009</v>
      </c>
      <c r="H66" s="60">
        <f t="shared" si="12"/>
        <v>129.04</v>
      </c>
      <c r="I66" s="60">
        <f t="shared" si="12"/>
        <v>189.94</v>
      </c>
      <c r="J66" s="60">
        <f t="shared" si="12"/>
        <v>238.24</v>
      </c>
      <c r="K66" s="60">
        <f t="shared" si="12"/>
        <v>311.94000000000005</v>
      </c>
      <c r="L66" s="60">
        <f t="shared" si="12"/>
        <v>323.34000000000003</v>
      </c>
      <c r="M66" s="60">
        <f t="shared" si="12"/>
        <v>329.64000000000004</v>
      </c>
      <c r="N66" s="60">
        <f t="shared" si="12"/>
        <v>245.94</v>
      </c>
      <c r="O66" s="60">
        <f t="shared" si="12"/>
        <v>197.74</v>
      </c>
      <c r="P66" s="60">
        <f t="shared" si="12"/>
        <v>197.74</v>
      </c>
      <c r="Q66" s="60">
        <f t="shared" si="12"/>
        <v>197.74</v>
      </c>
      <c r="R66" s="60">
        <f t="shared" si="12"/>
        <v>210.44</v>
      </c>
      <c r="S66" s="60">
        <f t="shared" si="12"/>
        <v>185.34</v>
      </c>
      <c r="T66" s="60">
        <f t="shared" si="12"/>
        <v>168.34</v>
      </c>
      <c r="U66" s="60">
        <f t="shared" si="12"/>
        <v>194.54000000000002</v>
      </c>
      <c r="V66" s="60">
        <f t="shared" si="12"/>
        <v>195.54000000000002</v>
      </c>
      <c r="W66" s="60">
        <f t="shared" si="12"/>
        <v>185.54000000000002</v>
      </c>
      <c r="X66" s="60">
        <f t="shared" si="12"/>
        <v>247.94</v>
      </c>
      <c r="Y66" s="60">
        <f t="shared" si="12"/>
        <v>293.84000000000003</v>
      </c>
      <c r="Z66" s="60">
        <f t="shared" si="12"/>
        <v>280.84000000000003</v>
      </c>
      <c r="AA66" s="60">
        <f t="shared" si="12"/>
        <v>268.54000000000002</v>
      </c>
      <c r="AB66" s="60">
        <f t="shared" si="12"/>
        <v>242.94</v>
      </c>
      <c r="AC66" s="60">
        <f t="shared" ref="AC66:AD66" si="13">SUM(AC53:AC65)</f>
        <v>242.94</v>
      </c>
      <c r="AD66" s="60">
        <f t="shared" si="13"/>
        <v>204.44</v>
      </c>
      <c r="AE66" s="60">
        <f t="shared" si="12"/>
        <v>101.64</v>
      </c>
      <c r="AF66" s="60">
        <f t="shared" ref="AF66" si="14">SUM(AF53:AF65)</f>
        <v>95.04</v>
      </c>
      <c r="AG66" s="61">
        <f t="shared" si="12"/>
        <v>489.91</v>
      </c>
      <c r="AH66" s="47">
        <f t="shared" si="2"/>
        <v>329.64000000000004</v>
      </c>
      <c r="AI66" s="48">
        <f t="shared" si="3"/>
        <v>70.540000000000006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14</v>
      </c>
      <c r="N67" s="45">
        <v>10</v>
      </c>
      <c r="O67" s="45">
        <v>10</v>
      </c>
      <c r="P67" s="45">
        <v>20</v>
      </c>
      <c r="Q67" s="45">
        <v>25</v>
      </c>
      <c r="R67" s="45">
        <v>25</v>
      </c>
      <c r="S67" s="45">
        <v>30</v>
      </c>
      <c r="T67" s="45">
        <v>30</v>
      </c>
      <c r="U67" s="45">
        <v>60</v>
      </c>
      <c r="V67" s="45">
        <v>60</v>
      </c>
      <c r="W67" s="45">
        <v>34</v>
      </c>
      <c r="X67" s="45">
        <v>30</v>
      </c>
      <c r="Y67" s="45">
        <v>45</v>
      </c>
      <c r="Z67" s="45">
        <v>55</v>
      </c>
      <c r="AA67" s="45">
        <v>50</v>
      </c>
      <c r="AB67" s="45">
        <v>34</v>
      </c>
      <c r="AC67" s="45">
        <v>34</v>
      </c>
      <c r="AD67" s="45">
        <v>20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5.0999999999999996</v>
      </c>
      <c r="N68" s="65">
        <v>5.6</v>
      </c>
      <c r="O68" s="65">
        <v>3</v>
      </c>
      <c r="P68" s="65">
        <v>10</v>
      </c>
      <c r="Q68" s="45">
        <v>11.7</v>
      </c>
      <c r="R68" s="45">
        <v>11.6</v>
      </c>
      <c r="S68" s="65">
        <v>14</v>
      </c>
      <c r="T68" s="65">
        <v>14</v>
      </c>
      <c r="U68" s="65">
        <v>28</v>
      </c>
      <c r="V68" s="65">
        <v>28</v>
      </c>
      <c r="W68" s="65">
        <v>17.399999999999999</v>
      </c>
      <c r="X68" s="65">
        <v>14.1</v>
      </c>
      <c r="Y68" s="65">
        <v>17.3</v>
      </c>
      <c r="Z68" s="65">
        <v>24.6</v>
      </c>
      <c r="AA68" s="65">
        <v>18.600000000000001</v>
      </c>
      <c r="AB68" s="65">
        <v>13.3</v>
      </c>
      <c r="AC68" s="65">
        <v>13.3</v>
      </c>
      <c r="AD68" s="65">
        <v>7.6</v>
      </c>
      <c r="AE68" s="65">
        <v>8.1</v>
      </c>
      <c r="AF68" s="65">
        <v>0</v>
      </c>
      <c r="AG68" s="54">
        <v>32</v>
      </c>
      <c r="AH68" s="47">
        <f t="shared" si="2"/>
        <v>28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1.9</v>
      </c>
      <c r="N69" s="67">
        <v>2</v>
      </c>
      <c r="O69" s="67">
        <v>1.1000000000000001</v>
      </c>
      <c r="P69" s="67">
        <v>4.2</v>
      </c>
      <c r="Q69" s="45">
        <v>4.2</v>
      </c>
      <c r="R69" s="45">
        <v>4.2</v>
      </c>
      <c r="S69" s="67">
        <v>5</v>
      </c>
      <c r="T69" s="67">
        <v>5</v>
      </c>
      <c r="U69" s="67">
        <v>10.199999999999999</v>
      </c>
      <c r="V69" s="67">
        <v>10.199999999999999</v>
      </c>
      <c r="W69" s="67">
        <v>6.3</v>
      </c>
      <c r="X69" s="67">
        <v>5.0999999999999996</v>
      </c>
      <c r="Y69" s="67">
        <v>6.3</v>
      </c>
      <c r="Z69" s="67">
        <v>9</v>
      </c>
      <c r="AA69" s="67">
        <v>6.8</v>
      </c>
      <c r="AB69" s="67">
        <v>4.8</v>
      </c>
      <c r="AC69" s="67">
        <v>4.8</v>
      </c>
      <c r="AD69" s="67">
        <v>2.8</v>
      </c>
      <c r="AE69" s="67">
        <v>2.9</v>
      </c>
      <c r="AF69" s="67">
        <v>0</v>
      </c>
      <c r="AG69" s="68">
        <v>14</v>
      </c>
      <c r="AH69" s="47">
        <f t="shared" si="2"/>
        <v>10.199999999999999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5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E70" si="16">M67+M68+M69</f>
        <v>21</v>
      </c>
      <c r="N70" s="60">
        <f t="shared" si="16"/>
        <v>17.600000000000001</v>
      </c>
      <c r="O70" s="60">
        <f t="shared" si="16"/>
        <v>14.1</v>
      </c>
      <c r="P70" s="60">
        <f t="shared" si="16"/>
        <v>34.200000000000003</v>
      </c>
      <c r="Q70" s="60">
        <f t="shared" si="16"/>
        <v>40.900000000000006</v>
      </c>
      <c r="R70" s="60">
        <f t="shared" si="16"/>
        <v>40.800000000000004</v>
      </c>
      <c r="S70" s="60">
        <f t="shared" si="16"/>
        <v>49</v>
      </c>
      <c r="T70" s="60">
        <f t="shared" si="16"/>
        <v>49</v>
      </c>
      <c r="U70" s="60">
        <f t="shared" si="16"/>
        <v>98.2</v>
      </c>
      <c r="V70" s="60">
        <f t="shared" si="16"/>
        <v>98.2</v>
      </c>
      <c r="W70" s="60">
        <f t="shared" si="16"/>
        <v>57.699999999999996</v>
      </c>
      <c r="X70" s="60">
        <f t="shared" si="16"/>
        <v>49.2</v>
      </c>
      <c r="Y70" s="60">
        <f t="shared" si="16"/>
        <v>68.599999999999994</v>
      </c>
      <c r="Z70" s="60">
        <f t="shared" si="16"/>
        <v>88.6</v>
      </c>
      <c r="AA70" s="60">
        <f t="shared" si="16"/>
        <v>75.399999999999991</v>
      </c>
      <c r="AB70" s="60">
        <f t="shared" si="16"/>
        <v>52.099999999999994</v>
      </c>
      <c r="AC70" s="60">
        <f t="shared" ref="AC70:AD70" si="17">AC67+AC68+AC69</f>
        <v>52.099999999999994</v>
      </c>
      <c r="AD70" s="60">
        <f t="shared" si="17"/>
        <v>30.400000000000002</v>
      </c>
      <c r="AE70" s="60">
        <f t="shared" si="16"/>
        <v>11</v>
      </c>
      <c r="AF70" s="60">
        <f t="shared" ref="AF70" si="18">AF67+AF68+AF69</f>
        <v>0</v>
      </c>
      <c r="AG70" s="61">
        <f>SUM(AG67:AG69)</f>
        <v>106</v>
      </c>
      <c r="AH70" s="47">
        <f t="shared" si="2"/>
        <v>98.2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18</v>
      </c>
      <c r="C71" s="45">
        <v>70</v>
      </c>
      <c r="D71" s="45">
        <v>68</v>
      </c>
      <c r="E71" s="45">
        <v>61</v>
      </c>
      <c r="F71" s="45">
        <v>65</v>
      </c>
      <c r="G71" s="45">
        <v>60</v>
      </c>
      <c r="H71" s="45">
        <v>70</v>
      </c>
      <c r="I71" s="45">
        <v>52</v>
      </c>
      <c r="J71" s="45">
        <v>66.099999999999994</v>
      </c>
      <c r="K71" s="45">
        <v>63</v>
      </c>
      <c r="L71" s="45">
        <v>62</v>
      </c>
      <c r="M71" s="45">
        <v>45</v>
      </c>
      <c r="N71" s="45">
        <v>56</v>
      </c>
      <c r="O71" s="45">
        <v>51</v>
      </c>
      <c r="P71" s="45">
        <v>65</v>
      </c>
      <c r="Q71" s="45">
        <v>51</v>
      </c>
      <c r="R71" s="45">
        <v>67.2</v>
      </c>
      <c r="S71" s="45">
        <v>67.2</v>
      </c>
      <c r="T71" s="45">
        <v>67.2</v>
      </c>
      <c r="U71" s="45">
        <v>66</v>
      </c>
      <c r="V71" s="45">
        <v>64</v>
      </c>
      <c r="W71" s="45">
        <v>62</v>
      </c>
      <c r="X71" s="45">
        <v>69</v>
      </c>
      <c r="Y71" s="45">
        <v>77</v>
      </c>
      <c r="Z71" s="45">
        <v>65.099999999999994</v>
      </c>
      <c r="AA71" s="45">
        <v>48</v>
      </c>
      <c r="AB71" s="45">
        <v>48</v>
      </c>
      <c r="AC71" s="45">
        <v>48</v>
      </c>
      <c r="AD71" s="45">
        <v>48</v>
      </c>
      <c r="AE71" s="45">
        <v>67.599999999999994</v>
      </c>
      <c r="AF71" s="45">
        <v>65.400000000000006</v>
      </c>
      <c r="AG71" s="51"/>
      <c r="AH71" s="47">
        <f t="shared" si="2"/>
        <v>77</v>
      </c>
      <c r="AI71" s="48">
        <f t="shared" si="3"/>
        <v>18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308</v>
      </c>
      <c r="C73" s="65">
        <v>290</v>
      </c>
      <c r="D73" s="65">
        <v>254.3</v>
      </c>
      <c r="E73" s="65">
        <v>265.10000000000002</v>
      </c>
      <c r="F73" s="65">
        <v>271.60000000000002</v>
      </c>
      <c r="G73" s="65">
        <v>355</v>
      </c>
      <c r="H73" s="65">
        <v>341</v>
      </c>
      <c r="I73" s="65">
        <v>296</v>
      </c>
      <c r="J73" s="65">
        <v>216</v>
      </c>
      <c r="K73" s="65">
        <v>133.9</v>
      </c>
      <c r="L73" s="65">
        <v>107.6</v>
      </c>
      <c r="M73" s="65">
        <v>162</v>
      </c>
      <c r="N73" s="65">
        <v>239</v>
      </c>
      <c r="O73" s="65">
        <v>315</v>
      </c>
      <c r="P73" s="65">
        <v>365</v>
      </c>
      <c r="Q73" s="65">
        <v>315</v>
      </c>
      <c r="R73" s="65">
        <v>341</v>
      </c>
      <c r="S73" s="65">
        <v>349</v>
      </c>
      <c r="T73" s="65">
        <v>367</v>
      </c>
      <c r="U73" s="65">
        <v>406</v>
      </c>
      <c r="V73" s="65">
        <v>265</v>
      </c>
      <c r="W73" s="65">
        <v>291</v>
      </c>
      <c r="X73" s="65">
        <v>330</v>
      </c>
      <c r="Y73" s="65">
        <v>352</v>
      </c>
      <c r="Z73" s="65">
        <v>144</v>
      </c>
      <c r="AA73" s="65">
        <v>156</v>
      </c>
      <c r="AB73" s="65">
        <v>190</v>
      </c>
      <c r="AC73" s="65">
        <v>190</v>
      </c>
      <c r="AD73" s="65">
        <v>335.2</v>
      </c>
      <c r="AE73" s="65">
        <v>347</v>
      </c>
      <c r="AF73" s="65">
        <v>329.7</v>
      </c>
      <c r="AG73" s="75"/>
      <c r="AH73" s="47">
        <f t="shared" si="2"/>
        <v>406</v>
      </c>
      <c r="AI73" s="48">
        <f t="shared" si="3"/>
        <v>107.6</v>
      </c>
      <c r="AK73" s="49"/>
    </row>
    <row r="74" spans="1:40" x14ac:dyDescent="0.25">
      <c r="A74" s="53" t="s">
        <v>78</v>
      </c>
      <c r="B74" s="65">
        <v>56</v>
      </c>
      <c r="C74" s="65">
        <v>55</v>
      </c>
      <c r="D74" s="76">
        <v>53</v>
      </c>
      <c r="E74" s="76">
        <v>52.6</v>
      </c>
      <c r="F74" s="76">
        <v>53.8</v>
      </c>
      <c r="G74" s="76">
        <v>54</v>
      </c>
      <c r="H74" s="76">
        <v>54</v>
      </c>
      <c r="I74" s="76">
        <v>55</v>
      </c>
      <c r="J74" s="76">
        <v>61.9</v>
      </c>
      <c r="K74" s="76">
        <v>63.8</v>
      </c>
      <c r="L74" s="76">
        <v>64</v>
      </c>
      <c r="M74" s="76">
        <v>64</v>
      </c>
      <c r="N74" s="76">
        <v>52.7</v>
      </c>
      <c r="O74" s="76">
        <v>53</v>
      </c>
      <c r="P74" s="76">
        <v>53</v>
      </c>
      <c r="Q74" s="76">
        <v>53</v>
      </c>
      <c r="R74" s="76">
        <v>53</v>
      </c>
      <c r="S74" s="76">
        <v>63</v>
      </c>
      <c r="T74" s="76">
        <v>63</v>
      </c>
      <c r="U74" s="76">
        <v>63</v>
      </c>
      <c r="V74" s="76">
        <v>64</v>
      </c>
      <c r="W74" s="76">
        <v>53</v>
      </c>
      <c r="X74" s="76">
        <v>53</v>
      </c>
      <c r="Y74" s="65">
        <v>57</v>
      </c>
      <c r="Z74" s="65">
        <v>57</v>
      </c>
      <c r="AA74" s="65">
        <v>57</v>
      </c>
      <c r="AB74" s="65">
        <v>57</v>
      </c>
      <c r="AC74" s="65">
        <v>57</v>
      </c>
      <c r="AD74" s="65">
        <v>52.4</v>
      </c>
      <c r="AE74" s="65">
        <v>55.4</v>
      </c>
      <c r="AF74" s="65">
        <v>54.6</v>
      </c>
      <c r="AG74" s="75"/>
      <c r="AH74" s="47">
        <f t="shared" si="2"/>
        <v>64</v>
      </c>
      <c r="AI74" s="48">
        <f t="shared" si="3"/>
        <v>52.4</v>
      </c>
      <c r="AK74" s="49"/>
    </row>
    <row r="75" spans="1:40" x14ac:dyDescent="0.25">
      <c r="A75" s="53" t="s">
        <v>79</v>
      </c>
      <c r="B75" s="45">
        <v>80</v>
      </c>
      <c r="C75" s="45">
        <v>80</v>
      </c>
      <c r="D75" s="45">
        <v>75</v>
      </c>
      <c r="E75" s="45">
        <v>75</v>
      </c>
      <c r="F75" s="45">
        <v>75</v>
      </c>
      <c r="G75" s="45">
        <v>75</v>
      </c>
      <c r="H75" s="45">
        <v>80</v>
      </c>
      <c r="I75" s="45">
        <v>80</v>
      </c>
      <c r="J75" s="45">
        <v>85</v>
      </c>
      <c r="K75" s="45">
        <v>80</v>
      </c>
      <c r="L75" s="45">
        <v>75</v>
      </c>
      <c r="M75" s="45">
        <v>70</v>
      </c>
      <c r="N75" s="45">
        <v>70</v>
      </c>
      <c r="O75" s="45">
        <v>72</v>
      </c>
      <c r="P75" s="45">
        <v>72</v>
      </c>
      <c r="Q75" s="45">
        <v>72</v>
      </c>
      <c r="R75" s="45">
        <v>68</v>
      </c>
      <c r="S75" s="45">
        <v>68</v>
      </c>
      <c r="T75" s="45">
        <v>68</v>
      </c>
      <c r="U75" s="45">
        <v>75</v>
      </c>
      <c r="V75" s="45">
        <v>75</v>
      </c>
      <c r="W75" s="45">
        <v>74</v>
      </c>
      <c r="X75" s="45">
        <v>74</v>
      </c>
      <c r="Y75" s="45">
        <v>74</v>
      </c>
      <c r="Z75" s="45">
        <v>74</v>
      </c>
      <c r="AA75" s="45">
        <v>74</v>
      </c>
      <c r="AB75" s="45">
        <v>74</v>
      </c>
      <c r="AC75" s="45">
        <v>74</v>
      </c>
      <c r="AD75" s="45">
        <v>83.1</v>
      </c>
      <c r="AE75" s="45">
        <v>80.2</v>
      </c>
      <c r="AF75" s="45">
        <v>75.900000000000006</v>
      </c>
      <c r="AG75" s="75"/>
      <c r="AH75" s="47">
        <f t="shared" ref="AH75:AH117" si="19">MAX(B75:AF75)</f>
        <v>85</v>
      </c>
      <c r="AI75" s="48">
        <f t="shared" ref="AI75:AI117" si="20">MIN(B75:AF75)</f>
        <v>68</v>
      </c>
      <c r="AK75" s="49"/>
    </row>
    <row r="76" spans="1:40" x14ac:dyDescent="0.25">
      <c r="A76" s="53" t="s">
        <v>80</v>
      </c>
      <c r="B76" s="77">
        <v>5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9"/>
        <v>5</v>
      </c>
      <c r="AI76" s="48">
        <f t="shared" si="20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9"/>
        <v>0</v>
      </c>
      <c r="AI77" s="48">
        <f t="shared" si="2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9"/>
        <v>0</v>
      </c>
      <c r="AI78" s="48">
        <f t="shared" si="2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9"/>
        <v>0</v>
      </c>
      <c r="AI79" s="48">
        <f t="shared" si="2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9"/>
        <v>0</v>
      </c>
      <c r="AI80" s="48">
        <f t="shared" si="2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9"/>
        <v>0</v>
      </c>
      <c r="AI81" s="48">
        <f t="shared" si="2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E82" si="21">SUMIF(B71:B81,"&gt;0")</f>
        <v>467</v>
      </c>
      <c r="C82" s="60">
        <f t="shared" si="21"/>
        <v>495</v>
      </c>
      <c r="D82" s="60">
        <f t="shared" si="21"/>
        <v>450.3</v>
      </c>
      <c r="E82" s="60">
        <f t="shared" si="21"/>
        <v>453.70000000000005</v>
      </c>
      <c r="F82" s="60">
        <f t="shared" si="21"/>
        <v>465.40000000000003</v>
      </c>
      <c r="G82" s="60">
        <f t="shared" si="21"/>
        <v>544</v>
      </c>
      <c r="H82" s="60">
        <f t="shared" si="21"/>
        <v>545</v>
      </c>
      <c r="I82" s="60">
        <f t="shared" si="21"/>
        <v>483</v>
      </c>
      <c r="J82" s="60">
        <f t="shared" si="21"/>
        <v>429</v>
      </c>
      <c r="K82" s="60">
        <f t="shared" si="21"/>
        <v>340.7</v>
      </c>
      <c r="L82" s="60">
        <f t="shared" si="21"/>
        <v>308.60000000000002</v>
      </c>
      <c r="M82" s="60">
        <f t="shared" si="21"/>
        <v>346</v>
      </c>
      <c r="N82" s="60">
        <f t="shared" si="21"/>
        <v>422.7</v>
      </c>
      <c r="O82" s="60">
        <f t="shared" si="21"/>
        <v>496</v>
      </c>
      <c r="P82" s="60">
        <f t="shared" si="21"/>
        <v>560</v>
      </c>
      <c r="Q82" s="60">
        <f t="shared" si="21"/>
        <v>496</v>
      </c>
      <c r="R82" s="60">
        <f t="shared" si="21"/>
        <v>534.20000000000005</v>
      </c>
      <c r="S82" s="60">
        <f t="shared" si="21"/>
        <v>552.20000000000005</v>
      </c>
      <c r="T82" s="60">
        <f t="shared" si="21"/>
        <v>570.20000000000005</v>
      </c>
      <c r="U82" s="60">
        <f t="shared" si="21"/>
        <v>615</v>
      </c>
      <c r="V82" s="60">
        <f t="shared" si="21"/>
        <v>473</v>
      </c>
      <c r="W82" s="60">
        <f t="shared" si="21"/>
        <v>485</v>
      </c>
      <c r="X82" s="60">
        <f t="shared" si="21"/>
        <v>531</v>
      </c>
      <c r="Y82" s="60">
        <f t="shared" si="21"/>
        <v>565</v>
      </c>
      <c r="Z82" s="60">
        <f t="shared" si="21"/>
        <v>345.1</v>
      </c>
      <c r="AA82" s="60">
        <f t="shared" si="21"/>
        <v>340</v>
      </c>
      <c r="AB82" s="60">
        <f t="shared" si="21"/>
        <v>374</v>
      </c>
      <c r="AC82" s="60">
        <f t="shared" ref="AC82:AD82" si="22">SUMIF(AC71:AC81,"&gt;0")</f>
        <v>374</v>
      </c>
      <c r="AD82" s="60">
        <f t="shared" si="22"/>
        <v>523.69999999999993</v>
      </c>
      <c r="AE82" s="60">
        <f t="shared" si="21"/>
        <v>555.20000000000005</v>
      </c>
      <c r="AF82" s="60">
        <f t="shared" ref="AF82" si="23">SUMIF(AF71:AF81,"&gt;0")</f>
        <v>530.6</v>
      </c>
      <c r="AG82" s="88">
        <f>SUM(AG71:AG81)</f>
        <v>0</v>
      </c>
      <c r="AH82" s="47">
        <f t="shared" si="19"/>
        <v>615</v>
      </c>
      <c r="AI82" s="48">
        <f t="shared" si="20"/>
        <v>308.60000000000002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9"/>
        <v>0</v>
      </c>
      <c r="AI83" s="48">
        <f t="shared" si="2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9"/>
        <v>0</v>
      </c>
      <c r="AI84" s="48">
        <f t="shared" si="2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9"/>
        <v>0</v>
      </c>
      <c r="AI85" s="48">
        <f t="shared" si="2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9"/>
        <v>0</v>
      </c>
      <c r="AI86" s="48">
        <f t="shared" si="20"/>
        <v>0</v>
      </c>
    </row>
    <row r="87" spans="1:40" ht="15.75" thickBot="1" x14ac:dyDescent="0.3">
      <c r="A87" s="74" t="s">
        <v>94</v>
      </c>
      <c r="B87" s="95">
        <f t="shared" ref="B87:AG87" si="24">B48+B52+B70+B66+B82+B86</f>
        <v>998.04</v>
      </c>
      <c r="C87" s="95">
        <f t="shared" si="24"/>
        <v>976.04</v>
      </c>
      <c r="D87" s="95">
        <f t="shared" si="24"/>
        <v>959.54</v>
      </c>
      <c r="E87" s="95">
        <f t="shared" si="24"/>
        <v>960.74</v>
      </c>
      <c r="F87" s="95">
        <f t="shared" si="24"/>
        <v>972.54</v>
      </c>
      <c r="G87" s="95">
        <f t="shared" si="24"/>
        <v>1034.74</v>
      </c>
      <c r="H87" s="95">
        <f t="shared" si="24"/>
        <v>1084.54</v>
      </c>
      <c r="I87" s="95">
        <f t="shared" si="24"/>
        <v>1133.44</v>
      </c>
      <c r="J87" s="95">
        <f t="shared" si="24"/>
        <v>1257.74</v>
      </c>
      <c r="K87" s="95">
        <f t="shared" si="24"/>
        <v>1303.1400000000001</v>
      </c>
      <c r="L87" s="95">
        <f t="shared" si="24"/>
        <v>1362.44</v>
      </c>
      <c r="M87" s="95">
        <f t="shared" si="24"/>
        <v>1317.14</v>
      </c>
      <c r="N87" s="95">
        <f t="shared" si="24"/>
        <v>1241.04</v>
      </c>
      <c r="O87" s="95">
        <f t="shared" si="24"/>
        <v>1197.94</v>
      </c>
      <c r="P87" s="95">
        <f t="shared" si="24"/>
        <v>1232.04</v>
      </c>
      <c r="Q87" s="95">
        <f t="shared" si="24"/>
        <v>1224.74</v>
      </c>
      <c r="R87" s="95">
        <f t="shared" si="24"/>
        <v>1217.94</v>
      </c>
      <c r="S87" s="95">
        <f t="shared" si="24"/>
        <v>1231.04</v>
      </c>
      <c r="T87" s="95">
        <f t="shared" si="24"/>
        <v>1263.04</v>
      </c>
      <c r="U87" s="95">
        <f t="shared" si="24"/>
        <v>1307.24</v>
      </c>
      <c r="V87" s="95">
        <f t="shared" si="24"/>
        <v>1276.24</v>
      </c>
      <c r="W87" s="95">
        <f t="shared" si="24"/>
        <v>1207.74</v>
      </c>
      <c r="X87" s="95">
        <f t="shared" si="24"/>
        <v>1287.6399999999999</v>
      </c>
      <c r="Y87" s="95">
        <f t="shared" si="24"/>
        <v>1481.94</v>
      </c>
      <c r="Z87" s="95">
        <f t="shared" si="24"/>
        <v>1434.04</v>
      </c>
      <c r="AA87" s="95">
        <f t="shared" si="24"/>
        <v>1363.44</v>
      </c>
      <c r="AB87" s="95">
        <f t="shared" si="24"/>
        <v>1308.54</v>
      </c>
      <c r="AC87" s="95">
        <f t="shared" ref="AC87:AD87" si="25">AC48+AC52+AC70+AC66+AC82+AC86</f>
        <v>1308.54</v>
      </c>
      <c r="AD87" s="95">
        <f t="shared" si="25"/>
        <v>1212.8399999999999</v>
      </c>
      <c r="AE87" s="95">
        <f t="shared" si="24"/>
        <v>1136.94</v>
      </c>
      <c r="AF87" s="95">
        <f t="shared" ref="AF87" si="26">AF48+AF52+AF70+AF66+AF82+AF86</f>
        <v>1046.44</v>
      </c>
      <c r="AG87" s="61">
        <f t="shared" si="24"/>
        <v>2065.09</v>
      </c>
      <c r="AH87" s="47">
        <f>MAX(B87:AF87)</f>
        <v>1481.94</v>
      </c>
      <c r="AI87" s="48">
        <f>MIN(B87:AF87)</f>
        <v>959.54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>
        <v>150</v>
      </c>
      <c r="M88" s="97">
        <v>150</v>
      </c>
      <c r="N88" s="97">
        <v>150</v>
      </c>
      <c r="O88" s="97">
        <v>150</v>
      </c>
      <c r="P88" s="97">
        <v>150</v>
      </c>
      <c r="Q88" s="97"/>
      <c r="R88" s="97"/>
      <c r="S88" s="97"/>
      <c r="T88" s="97"/>
      <c r="U88" s="97"/>
      <c r="V88" s="97"/>
      <c r="W88" s="97"/>
      <c r="X88" s="97">
        <v>160</v>
      </c>
      <c r="Y88" s="97">
        <v>160</v>
      </c>
      <c r="Z88" s="97">
        <v>160</v>
      </c>
      <c r="AA88" s="97">
        <v>160</v>
      </c>
      <c r="AB88" s="97">
        <v>160</v>
      </c>
      <c r="AC88" s="97">
        <v>100</v>
      </c>
      <c r="AD88" s="97">
        <v>100</v>
      </c>
      <c r="AE88" s="97"/>
      <c r="AF88" s="97"/>
      <c r="AG88" s="88"/>
      <c r="AH88" s="47">
        <f t="shared" si="19"/>
        <v>160</v>
      </c>
      <c r="AI88" s="48">
        <f t="shared" si="20"/>
        <v>100</v>
      </c>
    </row>
    <row r="89" spans="1:40" ht="15.75" thickBot="1" x14ac:dyDescent="0.3">
      <c r="A89" s="74" t="s">
        <v>96</v>
      </c>
      <c r="B89" s="95">
        <f t="shared" ref="B89:AE89" si="27">B87+B88</f>
        <v>998.04</v>
      </c>
      <c r="C89" s="95">
        <f t="shared" si="27"/>
        <v>976.04</v>
      </c>
      <c r="D89" s="95">
        <f t="shared" si="27"/>
        <v>959.54</v>
      </c>
      <c r="E89" s="95">
        <f t="shared" si="27"/>
        <v>960.74</v>
      </c>
      <c r="F89" s="95">
        <f t="shared" si="27"/>
        <v>972.54</v>
      </c>
      <c r="G89" s="95">
        <f t="shared" si="27"/>
        <v>1034.74</v>
      </c>
      <c r="H89" s="95">
        <f t="shared" si="27"/>
        <v>1084.54</v>
      </c>
      <c r="I89" s="95">
        <f t="shared" si="27"/>
        <v>1133.44</v>
      </c>
      <c r="J89" s="95">
        <f t="shared" si="27"/>
        <v>1257.74</v>
      </c>
      <c r="K89" s="95">
        <f t="shared" si="27"/>
        <v>1303.1400000000001</v>
      </c>
      <c r="L89" s="95">
        <f t="shared" si="27"/>
        <v>1512.44</v>
      </c>
      <c r="M89" s="95">
        <f t="shared" si="27"/>
        <v>1467.14</v>
      </c>
      <c r="N89" s="95">
        <f t="shared" si="27"/>
        <v>1391.04</v>
      </c>
      <c r="O89" s="95">
        <f t="shared" si="27"/>
        <v>1347.94</v>
      </c>
      <c r="P89" s="95">
        <f t="shared" si="27"/>
        <v>1382.04</v>
      </c>
      <c r="Q89" s="95">
        <f t="shared" si="27"/>
        <v>1224.74</v>
      </c>
      <c r="R89" s="95">
        <f t="shared" si="27"/>
        <v>1217.94</v>
      </c>
      <c r="S89" s="95">
        <f t="shared" si="27"/>
        <v>1231.04</v>
      </c>
      <c r="T89" s="95">
        <f t="shared" si="27"/>
        <v>1263.04</v>
      </c>
      <c r="U89" s="95">
        <f t="shared" si="27"/>
        <v>1307.24</v>
      </c>
      <c r="V89" s="95">
        <f t="shared" si="27"/>
        <v>1276.24</v>
      </c>
      <c r="W89" s="95">
        <f t="shared" si="27"/>
        <v>1207.74</v>
      </c>
      <c r="X89" s="95">
        <f t="shared" si="27"/>
        <v>1447.6399999999999</v>
      </c>
      <c r="Y89" s="95">
        <f t="shared" si="27"/>
        <v>1641.94</v>
      </c>
      <c r="Z89" s="95">
        <f t="shared" si="27"/>
        <v>1594.04</v>
      </c>
      <c r="AA89" s="95">
        <f t="shared" si="27"/>
        <v>1523.44</v>
      </c>
      <c r="AB89" s="95">
        <f t="shared" si="27"/>
        <v>1468.54</v>
      </c>
      <c r="AC89" s="95">
        <f t="shared" si="27"/>
        <v>1408.54</v>
      </c>
      <c r="AD89" s="95">
        <f t="shared" si="27"/>
        <v>1312.84</v>
      </c>
      <c r="AE89" s="95">
        <f t="shared" si="27"/>
        <v>1136.94</v>
      </c>
      <c r="AF89" s="95">
        <f t="shared" ref="AF89" si="28">AF87+AF88</f>
        <v>1046.44</v>
      </c>
      <c r="AG89" s="88">
        <f>AG86+AG82+AG70+AG66+AG48+AG88</f>
        <v>1526.99</v>
      </c>
      <c r="AH89" s="47">
        <f t="shared" si="19"/>
        <v>1641.94</v>
      </c>
      <c r="AI89" s="48">
        <f t="shared" si="20"/>
        <v>959.54</v>
      </c>
    </row>
    <row r="90" spans="1:40" ht="15.75" thickBot="1" x14ac:dyDescent="0.3">
      <c r="A90" s="74" t="s">
        <v>97</v>
      </c>
      <c r="B90" s="95">
        <f t="shared" ref="B90:AE90" si="29">B89-B97</f>
        <v>998.04</v>
      </c>
      <c r="C90" s="95">
        <f t="shared" si="29"/>
        <v>976.04</v>
      </c>
      <c r="D90" s="95">
        <f t="shared" si="29"/>
        <v>959.54</v>
      </c>
      <c r="E90" s="95">
        <f t="shared" si="29"/>
        <v>960.74</v>
      </c>
      <c r="F90" s="95">
        <f t="shared" si="29"/>
        <v>972.54</v>
      </c>
      <c r="G90" s="95">
        <f t="shared" si="29"/>
        <v>1034.74</v>
      </c>
      <c r="H90" s="95">
        <f t="shared" si="29"/>
        <v>1084.54</v>
      </c>
      <c r="I90" s="95">
        <f t="shared" si="29"/>
        <v>1133.44</v>
      </c>
      <c r="J90" s="95">
        <f t="shared" si="29"/>
        <v>1257.74</v>
      </c>
      <c r="K90" s="95">
        <f t="shared" si="29"/>
        <v>1303.1400000000001</v>
      </c>
      <c r="L90" s="95">
        <f t="shared" si="29"/>
        <v>1512.44</v>
      </c>
      <c r="M90" s="95">
        <f t="shared" si="29"/>
        <v>1467.14</v>
      </c>
      <c r="N90" s="95">
        <f t="shared" si="29"/>
        <v>1391.04</v>
      </c>
      <c r="O90" s="95">
        <f t="shared" si="29"/>
        <v>1347.94</v>
      </c>
      <c r="P90" s="95">
        <f t="shared" si="29"/>
        <v>1382.04</v>
      </c>
      <c r="Q90" s="95">
        <f t="shared" si="29"/>
        <v>1224.74</v>
      </c>
      <c r="R90" s="95">
        <f t="shared" si="29"/>
        <v>1217.94</v>
      </c>
      <c r="S90" s="95">
        <f t="shared" si="29"/>
        <v>1231.04</v>
      </c>
      <c r="T90" s="95">
        <f t="shared" si="29"/>
        <v>1263.04</v>
      </c>
      <c r="U90" s="95">
        <f t="shared" si="29"/>
        <v>1307.24</v>
      </c>
      <c r="V90" s="95">
        <f t="shared" si="29"/>
        <v>1276.24</v>
      </c>
      <c r="W90" s="95">
        <f t="shared" si="29"/>
        <v>1207.74</v>
      </c>
      <c r="X90" s="95">
        <f t="shared" si="29"/>
        <v>1447.6399999999999</v>
      </c>
      <c r="Y90" s="95">
        <f t="shared" si="29"/>
        <v>1641.94</v>
      </c>
      <c r="Z90" s="95">
        <f t="shared" si="29"/>
        <v>1594.04</v>
      </c>
      <c r="AA90" s="95">
        <f t="shared" si="29"/>
        <v>1523.44</v>
      </c>
      <c r="AB90" s="95">
        <f t="shared" si="29"/>
        <v>1468.54</v>
      </c>
      <c r="AC90" s="95">
        <f t="shared" si="29"/>
        <v>1408.54</v>
      </c>
      <c r="AD90" s="95">
        <f t="shared" si="29"/>
        <v>1312.84</v>
      </c>
      <c r="AE90" s="95">
        <f t="shared" si="29"/>
        <v>1136.94</v>
      </c>
      <c r="AF90" s="95">
        <f t="shared" ref="AF90" si="30">AF89-AF97</f>
        <v>1046.44</v>
      </c>
      <c r="AG90" s="88"/>
      <c r="AH90" s="47">
        <f t="shared" si="19"/>
        <v>1641.94</v>
      </c>
      <c r="AI90" s="48">
        <f t="shared" si="20"/>
        <v>959.54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9"/>
        <v>0</v>
      </c>
      <c r="AI91" s="48">
        <f t="shared" si="2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9"/>
        <v>0</v>
      </c>
      <c r="AI92" s="48">
        <f t="shared" si="2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9"/>
        <v>0</v>
      </c>
      <c r="AI93" s="48">
        <f t="shared" si="2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9"/>
        <v>0</v>
      </c>
      <c r="AI96" s="48">
        <f t="shared" si="2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9"/>
        <v>0</v>
      </c>
      <c r="AI97" s="48">
        <f t="shared" si="20"/>
        <v>0</v>
      </c>
      <c r="AK97" s="49"/>
    </row>
    <row r="98" spans="1:37" ht="15.75" thickBot="1" x14ac:dyDescent="0.3">
      <c r="A98" s="74" t="s">
        <v>102</v>
      </c>
      <c r="B98" s="60">
        <f t="shared" ref="B98:AF98" si="31">B82-B97</f>
        <v>467</v>
      </c>
      <c r="C98" s="60">
        <f t="shared" si="31"/>
        <v>495</v>
      </c>
      <c r="D98" s="60">
        <f t="shared" si="31"/>
        <v>450.3</v>
      </c>
      <c r="E98" s="60">
        <f t="shared" si="31"/>
        <v>453.70000000000005</v>
      </c>
      <c r="F98" s="60">
        <f t="shared" si="31"/>
        <v>465.40000000000003</v>
      </c>
      <c r="G98" s="60">
        <f t="shared" si="31"/>
        <v>544</v>
      </c>
      <c r="H98" s="60">
        <f t="shared" si="31"/>
        <v>545</v>
      </c>
      <c r="I98" s="60">
        <f t="shared" si="31"/>
        <v>483</v>
      </c>
      <c r="J98" s="60">
        <f t="shared" si="31"/>
        <v>429</v>
      </c>
      <c r="K98" s="60">
        <f t="shared" si="31"/>
        <v>340.7</v>
      </c>
      <c r="L98" s="60">
        <f t="shared" si="31"/>
        <v>308.60000000000002</v>
      </c>
      <c r="M98" s="60">
        <f t="shared" si="31"/>
        <v>346</v>
      </c>
      <c r="N98" s="60">
        <f t="shared" si="31"/>
        <v>422.7</v>
      </c>
      <c r="O98" s="60">
        <f t="shared" si="31"/>
        <v>496</v>
      </c>
      <c r="P98" s="60">
        <f t="shared" si="31"/>
        <v>560</v>
      </c>
      <c r="Q98" s="60">
        <f t="shared" si="31"/>
        <v>496</v>
      </c>
      <c r="R98" s="60">
        <f t="shared" si="31"/>
        <v>534.20000000000005</v>
      </c>
      <c r="S98" s="60">
        <f t="shared" si="31"/>
        <v>552.20000000000005</v>
      </c>
      <c r="T98" s="60">
        <f t="shared" si="31"/>
        <v>570.20000000000005</v>
      </c>
      <c r="U98" s="60">
        <f t="shared" si="31"/>
        <v>615</v>
      </c>
      <c r="V98" s="60">
        <f t="shared" si="31"/>
        <v>473</v>
      </c>
      <c r="W98" s="60">
        <f t="shared" si="31"/>
        <v>485</v>
      </c>
      <c r="X98" s="60">
        <f t="shared" si="31"/>
        <v>531</v>
      </c>
      <c r="Y98" s="60">
        <f t="shared" si="31"/>
        <v>565</v>
      </c>
      <c r="Z98" s="60">
        <f t="shared" si="31"/>
        <v>345.1</v>
      </c>
      <c r="AA98" s="60">
        <f t="shared" si="31"/>
        <v>340</v>
      </c>
      <c r="AB98" s="60">
        <f t="shared" si="31"/>
        <v>374</v>
      </c>
      <c r="AC98" s="60">
        <f t="shared" si="31"/>
        <v>374</v>
      </c>
      <c r="AD98" s="60">
        <f t="shared" si="31"/>
        <v>523.69999999999993</v>
      </c>
      <c r="AE98" s="60">
        <f t="shared" si="31"/>
        <v>555.20000000000005</v>
      </c>
      <c r="AF98" s="60">
        <f t="shared" si="31"/>
        <v>530.6</v>
      </c>
      <c r="AG98" s="88"/>
      <c r="AH98" s="47">
        <f t="shared" si="19"/>
        <v>615</v>
      </c>
      <c r="AI98" s="48">
        <f t="shared" si="20"/>
        <v>308.60000000000002</v>
      </c>
    </row>
    <row r="99" spans="1:37" x14ac:dyDescent="0.25">
      <c r="A99" s="100" t="s">
        <v>103</v>
      </c>
      <c r="B99" s="101">
        <v>50.01</v>
      </c>
      <c r="C99" s="101">
        <v>49.94</v>
      </c>
      <c r="D99" s="101">
        <v>50.04</v>
      </c>
      <c r="E99" s="101">
        <v>50.023000000000003</v>
      </c>
      <c r="F99" s="101">
        <v>49.947000000000003</v>
      </c>
      <c r="G99" s="101">
        <v>50.106999999999999</v>
      </c>
      <c r="H99" s="101">
        <v>50.09</v>
      </c>
      <c r="I99" s="101">
        <v>49.956000000000003</v>
      </c>
      <c r="J99" s="101">
        <v>50.082999999999998</v>
      </c>
      <c r="K99" s="101">
        <v>50.045000000000002</v>
      </c>
      <c r="L99" s="101">
        <v>50.051000000000002</v>
      </c>
      <c r="M99" s="101">
        <v>49.965000000000003</v>
      </c>
      <c r="N99" s="101">
        <v>49.929000000000002</v>
      </c>
      <c r="O99" s="101">
        <v>50.13</v>
      </c>
      <c r="P99" s="101">
        <v>50</v>
      </c>
      <c r="Q99" s="101">
        <v>50.03</v>
      </c>
      <c r="R99" s="101">
        <v>49.957999999999998</v>
      </c>
      <c r="S99" s="101">
        <v>50.017000000000003</v>
      </c>
      <c r="T99" s="101">
        <v>49.970999999999997</v>
      </c>
      <c r="U99" s="101">
        <v>50.036999999999999</v>
      </c>
      <c r="V99" s="101">
        <v>50.009</v>
      </c>
      <c r="W99" s="101">
        <v>50.069000000000003</v>
      </c>
      <c r="X99" s="101">
        <v>50.064</v>
      </c>
      <c r="Y99" s="101">
        <v>49.892000000000003</v>
      </c>
      <c r="Z99" s="101">
        <v>50.015999999999998</v>
      </c>
      <c r="AA99" s="101">
        <v>49.93</v>
      </c>
      <c r="AB99" s="101">
        <v>50.02</v>
      </c>
      <c r="AC99" s="101">
        <v>50.02</v>
      </c>
      <c r="AD99" s="101">
        <v>50.04</v>
      </c>
      <c r="AE99" s="101">
        <v>50.045999999999999</v>
      </c>
      <c r="AF99" s="101">
        <v>49.99</v>
      </c>
      <c r="AG99" s="102"/>
      <c r="AH99" s="47">
        <f t="shared" si="19"/>
        <v>50.13</v>
      </c>
      <c r="AI99" s="48">
        <f t="shared" si="20"/>
        <v>49.892000000000003</v>
      </c>
    </row>
    <row r="100" spans="1:37" x14ac:dyDescent="0.25">
      <c r="A100" s="103" t="s">
        <v>104</v>
      </c>
      <c r="B100" s="65">
        <v>130</v>
      </c>
      <c r="C100" s="65">
        <v>130</v>
      </c>
      <c r="D100" s="65">
        <v>131.5</v>
      </c>
      <c r="E100" s="65">
        <v>130.9</v>
      </c>
      <c r="F100" s="65">
        <v>130.69999999999999</v>
      </c>
      <c r="G100" s="65">
        <v>128.19999999999999</v>
      </c>
      <c r="H100" s="65">
        <v>129.1</v>
      </c>
      <c r="I100" s="65">
        <v>128.5</v>
      </c>
      <c r="J100" s="65">
        <v>127.1</v>
      </c>
      <c r="K100" s="65">
        <v>126.5</v>
      </c>
      <c r="L100" s="65">
        <v>123.9</v>
      </c>
      <c r="M100" s="65">
        <v>126.8</v>
      </c>
      <c r="N100" s="65">
        <v>125.8</v>
      </c>
      <c r="O100" s="65">
        <v>125.4</v>
      </c>
      <c r="P100" s="65">
        <v>124.3</v>
      </c>
      <c r="Q100" s="65">
        <v>125.4</v>
      </c>
      <c r="R100" s="65">
        <v>125.7</v>
      </c>
      <c r="S100" s="65">
        <v>126.4</v>
      </c>
      <c r="T100" s="65">
        <v>125.3</v>
      </c>
      <c r="U100" s="65">
        <v>127</v>
      </c>
      <c r="V100" s="65">
        <v>129</v>
      </c>
      <c r="W100" s="65">
        <v>128.80000000000001</v>
      </c>
      <c r="X100" s="65">
        <v>129</v>
      </c>
      <c r="Y100" s="65">
        <v>127.8</v>
      </c>
      <c r="Z100" s="65">
        <v>128.30000000000001</v>
      </c>
      <c r="AA100" s="65">
        <v>129.19999999999999</v>
      </c>
      <c r="AB100" s="65">
        <v>129.9</v>
      </c>
      <c r="AC100" s="65">
        <v>129.9</v>
      </c>
      <c r="AD100" s="65">
        <v>130</v>
      </c>
      <c r="AE100" s="65">
        <v>129.69999999999999</v>
      </c>
      <c r="AF100" s="65">
        <v>130</v>
      </c>
      <c r="AG100" s="104"/>
      <c r="AH100" s="47">
        <f t="shared" si="19"/>
        <v>131.5</v>
      </c>
      <c r="AI100" s="48">
        <f t="shared" si="20"/>
        <v>123.9</v>
      </c>
    </row>
    <row r="101" spans="1:37" x14ac:dyDescent="0.25">
      <c r="A101" s="103" t="s">
        <v>105</v>
      </c>
      <c r="B101" s="65">
        <v>133</v>
      </c>
      <c r="C101" s="65">
        <v>133</v>
      </c>
      <c r="D101" s="65">
        <v>134.80000000000001</v>
      </c>
      <c r="E101" s="65">
        <v>134.1</v>
      </c>
      <c r="F101" s="65">
        <v>133.69999999999999</v>
      </c>
      <c r="G101" s="65">
        <v>131.5</v>
      </c>
      <c r="H101" s="65">
        <v>132.1</v>
      </c>
      <c r="I101" s="65">
        <v>131.4</v>
      </c>
      <c r="J101" s="65">
        <v>129.80000000000001</v>
      </c>
      <c r="K101" s="65">
        <v>128.6</v>
      </c>
      <c r="L101" s="65">
        <v>126.2</v>
      </c>
      <c r="M101" s="65">
        <v>129.5</v>
      </c>
      <c r="N101" s="65">
        <v>128.19999999999999</v>
      </c>
      <c r="O101" s="65">
        <v>127.8</v>
      </c>
      <c r="P101" s="65">
        <v>128.63</v>
      </c>
      <c r="Q101" s="65">
        <v>128.69999999999999</v>
      </c>
      <c r="R101" s="65">
        <v>128.80000000000001</v>
      </c>
      <c r="S101" s="65">
        <v>129.30000000000001</v>
      </c>
      <c r="T101" s="65">
        <v>128.5</v>
      </c>
      <c r="U101" s="65">
        <v>130</v>
      </c>
      <c r="V101" s="65">
        <v>132</v>
      </c>
      <c r="W101" s="65">
        <v>131.19999999999999</v>
      </c>
      <c r="X101" s="65">
        <v>131.1</v>
      </c>
      <c r="Y101" s="65">
        <v>130.19999999999999</v>
      </c>
      <c r="Z101" s="65">
        <v>130.6</v>
      </c>
      <c r="AA101" s="65">
        <v>131.6</v>
      </c>
      <c r="AB101" s="65">
        <v>132.1</v>
      </c>
      <c r="AC101" s="65">
        <v>132.1</v>
      </c>
      <c r="AD101" s="65">
        <v>132.4</v>
      </c>
      <c r="AE101" s="65">
        <v>132.80000000000001</v>
      </c>
      <c r="AF101" s="65">
        <v>133.1</v>
      </c>
      <c r="AG101" s="104"/>
      <c r="AH101" s="47">
        <f t="shared" si="19"/>
        <v>134.80000000000001</v>
      </c>
      <c r="AI101" s="48">
        <f t="shared" si="20"/>
        <v>126.2</v>
      </c>
    </row>
    <row r="102" spans="1:37" x14ac:dyDescent="0.25">
      <c r="A102" s="103" t="s">
        <v>106</v>
      </c>
      <c r="B102" s="65">
        <v>132</v>
      </c>
      <c r="C102" s="65">
        <v>132</v>
      </c>
      <c r="D102" s="65">
        <v>129.80000000000001</v>
      </c>
      <c r="E102" s="65">
        <v>130.30000000000001</v>
      </c>
      <c r="F102" s="65">
        <v>130.80000000000001</v>
      </c>
      <c r="G102" s="65">
        <v>130.80000000000001</v>
      </c>
      <c r="H102" s="65">
        <v>129.30000000000001</v>
      </c>
      <c r="I102" s="65">
        <v>128.30000000000001</v>
      </c>
      <c r="J102" s="65">
        <v>129.19999999999999</v>
      </c>
      <c r="K102" s="65">
        <v>130</v>
      </c>
      <c r="L102" s="65">
        <v>127.7</v>
      </c>
      <c r="M102" s="65">
        <v>127.5</v>
      </c>
      <c r="N102" s="65">
        <v>130.4</v>
      </c>
      <c r="O102" s="65">
        <v>133</v>
      </c>
      <c r="P102" s="65">
        <v>125.7</v>
      </c>
      <c r="Q102" s="65">
        <v>126.1</v>
      </c>
      <c r="R102" s="65">
        <v>129.9</v>
      </c>
      <c r="S102" s="65">
        <v>126</v>
      </c>
      <c r="T102" s="65">
        <v>126.1</v>
      </c>
      <c r="U102" s="65">
        <v>126</v>
      </c>
      <c r="V102" s="65">
        <v>129.30000000000001</v>
      </c>
      <c r="W102" s="65">
        <v>133.9</v>
      </c>
      <c r="X102" s="65">
        <v>130.6</v>
      </c>
      <c r="Y102" s="65">
        <v>126.8</v>
      </c>
      <c r="Z102" s="65">
        <v>130</v>
      </c>
      <c r="AA102" s="65">
        <v>131</v>
      </c>
      <c r="AB102" s="65">
        <v>131.30000000000001</v>
      </c>
      <c r="AC102" s="65">
        <v>131.30000000000001</v>
      </c>
      <c r="AD102" s="65">
        <v>130.19999999999999</v>
      </c>
      <c r="AE102" s="65">
        <v>132</v>
      </c>
      <c r="AF102" s="65">
        <v>129.69999999999999</v>
      </c>
      <c r="AG102" s="104"/>
      <c r="AH102" s="47">
        <f t="shared" si="19"/>
        <v>133.9</v>
      </c>
      <c r="AI102" s="48">
        <f t="shared" si="20"/>
        <v>125.7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9"/>
        <v>0</v>
      </c>
      <c r="AI103" s="48">
        <f t="shared" si="20"/>
        <v>0</v>
      </c>
    </row>
    <row r="104" spans="1:37" x14ac:dyDescent="0.25">
      <c r="A104" s="105" t="s">
        <v>108</v>
      </c>
      <c r="B104" s="106">
        <v>132</v>
      </c>
      <c r="C104" s="106">
        <v>132</v>
      </c>
      <c r="D104" s="106">
        <v>136.9</v>
      </c>
      <c r="E104" s="106">
        <v>135.6</v>
      </c>
      <c r="F104" s="106">
        <v>134</v>
      </c>
      <c r="G104" s="106">
        <v>131.5</v>
      </c>
      <c r="H104" s="106">
        <v>134.5</v>
      </c>
      <c r="I104" s="106">
        <v>132.5</v>
      </c>
      <c r="J104" s="106">
        <v>134</v>
      </c>
      <c r="K104" s="106">
        <v>134.19999999999999</v>
      </c>
      <c r="L104" s="106">
        <v>133.30000000000001</v>
      </c>
      <c r="M104" s="106">
        <v>133.30000000000001</v>
      </c>
      <c r="N104" s="106">
        <v>131.80000000000001</v>
      </c>
      <c r="O104" s="106">
        <v>130.4</v>
      </c>
      <c r="P104" s="106">
        <v>131.19999999999999</v>
      </c>
      <c r="Q104" s="106">
        <v>132.69999999999999</v>
      </c>
      <c r="R104" s="106">
        <v>128.80000000000001</v>
      </c>
      <c r="S104" s="106">
        <v>133.5</v>
      </c>
      <c r="T104" s="106">
        <v>130</v>
      </c>
      <c r="U104" s="106">
        <v>136</v>
      </c>
      <c r="V104" s="106">
        <v>134.1</v>
      </c>
      <c r="W104" s="106">
        <v>134.1</v>
      </c>
      <c r="X104" s="106">
        <v>135.19999999999999</v>
      </c>
      <c r="Y104" s="106">
        <v>135</v>
      </c>
      <c r="Z104" s="106">
        <v>134.80000000000001</v>
      </c>
      <c r="AA104" s="106">
        <v>135.30000000000001</v>
      </c>
      <c r="AB104" s="106">
        <v>135.5</v>
      </c>
      <c r="AC104" s="106">
        <v>135.5</v>
      </c>
      <c r="AD104" s="106">
        <v>134.9</v>
      </c>
      <c r="AE104" s="106">
        <v>133.80000000000001</v>
      </c>
      <c r="AF104" s="106">
        <v>133.5</v>
      </c>
      <c r="AG104" s="107"/>
      <c r="AH104" s="47">
        <f t="shared" si="19"/>
        <v>136.9</v>
      </c>
      <c r="AI104" s="48">
        <f t="shared" si="20"/>
        <v>128.80000000000001</v>
      </c>
    </row>
    <row r="105" spans="1:37" x14ac:dyDescent="0.25">
      <c r="A105" s="103" t="s">
        <v>109</v>
      </c>
      <c r="B105" s="65">
        <v>133</v>
      </c>
      <c r="C105" s="65">
        <v>133</v>
      </c>
      <c r="D105" s="65">
        <v>132.1</v>
      </c>
      <c r="E105" s="65">
        <v>132.5</v>
      </c>
      <c r="F105" s="65">
        <v>129.80000000000001</v>
      </c>
      <c r="G105" s="65">
        <v>130.1</v>
      </c>
      <c r="H105" s="65">
        <v>127.1</v>
      </c>
      <c r="I105" s="65">
        <v>136.1</v>
      </c>
      <c r="J105" s="65">
        <v>127.7</v>
      </c>
      <c r="K105" s="65">
        <v>126.7</v>
      </c>
      <c r="L105" s="65">
        <v>130.5</v>
      </c>
      <c r="M105" s="65">
        <v>126.1</v>
      </c>
      <c r="N105" s="65">
        <v>129.80000000000001</v>
      </c>
      <c r="O105" s="65">
        <v>130.30000000000001</v>
      </c>
      <c r="P105" s="65">
        <v>128.9</v>
      </c>
      <c r="Q105" s="65">
        <v>125.3</v>
      </c>
      <c r="R105" s="65">
        <v>129.69999999999999</v>
      </c>
      <c r="S105" s="65"/>
      <c r="T105" s="65">
        <v>126.3</v>
      </c>
      <c r="U105" s="65">
        <v>127</v>
      </c>
      <c r="V105" s="65">
        <v>132</v>
      </c>
      <c r="W105" s="65">
        <v>127.6</v>
      </c>
      <c r="X105" s="65">
        <v>126.7</v>
      </c>
      <c r="Y105" s="65">
        <v>126.4</v>
      </c>
      <c r="Z105" s="65">
        <v>136.6</v>
      </c>
      <c r="AA105" s="65">
        <v>136.9</v>
      </c>
      <c r="AB105" s="65">
        <v>135.19999999999999</v>
      </c>
      <c r="AC105" s="65">
        <v>135.19999999999999</v>
      </c>
      <c r="AD105" s="65">
        <v>135.80000000000001</v>
      </c>
      <c r="AE105" s="65">
        <v>132.30000000000001</v>
      </c>
      <c r="AF105" s="65">
        <v>132.80000000000001</v>
      </c>
      <c r="AG105" s="104"/>
      <c r="AH105" s="47">
        <f t="shared" si="19"/>
        <v>136.9</v>
      </c>
      <c r="AI105" s="48">
        <f t="shared" si="20"/>
        <v>125.3</v>
      </c>
    </row>
    <row r="106" spans="1:37" ht="15.75" thickBot="1" x14ac:dyDescent="0.3">
      <c r="A106" s="103" t="s">
        <v>110</v>
      </c>
      <c r="B106" s="92">
        <v>66.5</v>
      </c>
      <c r="C106" s="92">
        <v>66.5</v>
      </c>
      <c r="D106" s="92">
        <v>67.099999999999994</v>
      </c>
      <c r="E106" s="92">
        <v>67</v>
      </c>
      <c r="F106" s="92">
        <v>67</v>
      </c>
      <c r="G106" s="92">
        <v>65.7</v>
      </c>
      <c r="H106" s="92">
        <v>66</v>
      </c>
      <c r="I106" s="92">
        <v>65.400000000000006</v>
      </c>
      <c r="J106" s="92">
        <v>64.8</v>
      </c>
      <c r="K106" s="92">
        <v>64</v>
      </c>
      <c r="L106" s="92">
        <v>63</v>
      </c>
      <c r="M106" s="92">
        <v>64.7</v>
      </c>
      <c r="N106" s="92">
        <v>64.2</v>
      </c>
      <c r="O106" s="92">
        <v>64</v>
      </c>
      <c r="P106" s="92">
        <v>64.3</v>
      </c>
      <c r="Q106" s="92">
        <v>64.3</v>
      </c>
      <c r="R106" s="92">
        <v>64.2</v>
      </c>
      <c r="S106" s="92">
        <v>64.8</v>
      </c>
      <c r="T106" s="92">
        <v>64.5</v>
      </c>
      <c r="U106" s="92">
        <v>65</v>
      </c>
      <c r="V106" s="92">
        <v>66</v>
      </c>
      <c r="W106" s="92">
        <v>65.7</v>
      </c>
      <c r="X106" s="92">
        <v>65.7</v>
      </c>
      <c r="Y106" s="92">
        <v>65</v>
      </c>
      <c r="Z106" s="92">
        <v>65.2</v>
      </c>
      <c r="AA106" s="92">
        <v>66.099999999999994</v>
      </c>
      <c r="AB106" s="92">
        <v>66</v>
      </c>
      <c r="AC106" s="92">
        <v>66</v>
      </c>
      <c r="AD106" s="92">
        <v>66.400000000000006</v>
      </c>
      <c r="AE106" s="92">
        <v>66.599999999999994</v>
      </c>
      <c r="AF106" s="92">
        <v>66.599999999999994</v>
      </c>
      <c r="AG106" s="108"/>
      <c r="AH106" s="47">
        <f t="shared" si="19"/>
        <v>67.099999999999994</v>
      </c>
      <c r="AI106" s="48">
        <f t="shared" si="20"/>
        <v>63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9"/>
        <v>0</v>
      </c>
      <c r="AI107" s="48">
        <f t="shared" si="20"/>
        <v>0</v>
      </c>
    </row>
    <row r="108" spans="1:37" ht="15.75" thickBot="1" x14ac:dyDescent="0.3">
      <c r="A108" s="110" t="s">
        <v>112</v>
      </c>
      <c r="B108" s="111">
        <f t="shared" ref="B108:AF108" si="32">SUM(B18,B24,B27:B28,B56,B58:B59,B61,B63,B109:B113,B135,B141,B147,B156,B158,B170,B177,B180:B181,B188,B190,B192,B196:B198,B200:B202,B207,B213:B214,B216:B218,B226,B231)</f>
        <v>117.5</v>
      </c>
      <c r="C108" s="111">
        <f t="shared" si="32"/>
        <v>114.44</v>
      </c>
      <c r="D108" s="111">
        <f t="shared" si="32"/>
        <v>117.44</v>
      </c>
      <c r="E108" s="111">
        <f t="shared" si="32"/>
        <v>113.14</v>
      </c>
      <c r="F108" s="111">
        <f t="shared" si="32"/>
        <v>117.34</v>
      </c>
      <c r="G108" s="111">
        <f t="shared" si="32"/>
        <v>154.04000000000002</v>
      </c>
      <c r="H108" s="111">
        <f t="shared" si="32"/>
        <v>171.24</v>
      </c>
      <c r="I108" s="111">
        <f t="shared" si="32"/>
        <v>207.14</v>
      </c>
      <c r="J108" s="111">
        <f t="shared" si="32"/>
        <v>256.54000000000002</v>
      </c>
      <c r="K108" s="111">
        <f t="shared" si="32"/>
        <v>315.04000000000002</v>
      </c>
      <c r="L108" s="111">
        <f t="shared" si="32"/>
        <v>342.04</v>
      </c>
      <c r="M108" s="111">
        <f t="shared" si="32"/>
        <v>327.54000000000002</v>
      </c>
      <c r="N108" s="111">
        <f t="shared" si="32"/>
        <v>312.74</v>
      </c>
      <c r="O108" s="111">
        <f>SUM(O18,O24,O27:O28,O56,O58:O59,O61,O63,O109:O113,O135,O141,O147,O156,O158,O170,O177,O180:O181,O188,O190,O192,O196:O198,O200:O202,O207,O213:O214,O216:O218,O226,O231)</f>
        <v>305.04000000000002</v>
      </c>
      <c r="P108" s="111">
        <v>42</v>
      </c>
      <c r="Q108" s="111">
        <f t="shared" si="32"/>
        <v>272.3</v>
      </c>
      <c r="R108" s="111">
        <f t="shared" si="32"/>
        <v>255.2</v>
      </c>
      <c r="S108" s="111">
        <f t="shared" si="32"/>
        <v>249.3</v>
      </c>
      <c r="T108" s="111">
        <f t="shared" si="32"/>
        <v>262</v>
      </c>
      <c r="U108" s="111">
        <f t="shared" si="32"/>
        <v>279.79999999999995</v>
      </c>
      <c r="V108" s="111">
        <f t="shared" si="32"/>
        <v>280.5</v>
      </c>
      <c r="W108" s="111">
        <f t="shared" si="32"/>
        <v>277</v>
      </c>
      <c r="X108" s="111">
        <f t="shared" si="32"/>
        <v>311.59999999999997</v>
      </c>
      <c r="Y108" s="111">
        <f t="shared" si="32"/>
        <v>357.4</v>
      </c>
      <c r="Z108" s="111">
        <f t="shared" si="32"/>
        <v>367.4</v>
      </c>
      <c r="AA108" s="111">
        <f t="shared" si="32"/>
        <v>333</v>
      </c>
      <c r="AB108" s="111">
        <f t="shared" si="32"/>
        <v>289.10000000000002</v>
      </c>
      <c r="AC108" s="111">
        <f t="shared" si="32"/>
        <v>256.7</v>
      </c>
      <c r="AD108" s="111">
        <f t="shared" si="32"/>
        <v>248.7</v>
      </c>
      <c r="AE108" s="111">
        <f t="shared" si="32"/>
        <v>189</v>
      </c>
      <c r="AF108" s="111">
        <f t="shared" si="32"/>
        <v>142.30000000000001</v>
      </c>
      <c r="AG108" s="112"/>
      <c r="AH108" s="47">
        <f t="shared" si="19"/>
        <v>367.4</v>
      </c>
      <c r="AI108" s="48">
        <f t="shared" si="20"/>
        <v>42</v>
      </c>
    </row>
    <row r="109" spans="1:37" x14ac:dyDescent="0.25">
      <c r="A109" s="100" t="s">
        <v>113</v>
      </c>
      <c r="B109" s="113">
        <v>-18</v>
      </c>
      <c r="C109" s="113">
        <v>-17</v>
      </c>
      <c r="D109" s="113">
        <v>-9.1</v>
      </c>
      <c r="E109" s="113">
        <v>-12</v>
      </c>
      <c r="F109" s="113">
        <v>-13.4</v>
      </c>
      <c r="G109" s="113">
        <v>-19.100000000000001</v>
      </c>
      <c r="H109" s="113">
        <v>-10.199999999999999</v>
      </c>
      <c r="I109" s="113">
        <v>1.3</v>
      </c>
      <c r="J109" s="113">
        <v>13.3</v>
      </c>
      <c r="K109" s="113">
        <v>30.3</v>
      </c>
      <c r="L109" s="113">
        <v>29.9</v>
      </c>
      <c r="M109" s="113">
        <v>29.9</v>
      </c>
      <c r="N109" s="113">
        <v>9.8000000000000007</v>
      </c>
      <c r="O109" s="113">
        <v>0</v>
      </c>
      <c r="P109" s="113">
        <v>1</v>
      </c>
      <c r="Q109" s="113">
        <v>2.5</v>
      </c>
      <c r="R109" s="113">
        <v>-5.8</v>
      </c>
      <c r="S109" s="113">
        <v>-4.2</v>
      </c>
      <c r="T109" s="113">
        <v>-9</v>
      </c>
      <c r="U109" s="113">
        <v>-3.4</v>
      </c>
      <c r="V109" s="113">
        <v>0</v>
      </c>
      <c r="W109" s="113">
        <v>2.8</v>
      </c>
      <c r="X109" s="113">
        <v>12.7</v>
      </c>
      <c r="Y109" s="113">
        <v>22</v>
      </c>
      <c r="Z109" s="113">
        <v>16</v>
      </c>
      <c r="AA109" s="113">
        <v>12.3</v>
      </c>
      <c r="AB109" s="113">
        <v>11.6</v>
      </c>
      <c r="AC109" s="113">
        <v>2.5</v>
      </c>
      <c r="AD109" s="113">
        <v>-2.1</v>
      </c>
      <c r="AE109" s="113">
        <v>-13.1</v>
      </c>
      <c r="AF109" s="113">
        <v>-16.399999999999999</v>
      </c>
      <c r="AG109" s="114">
        <v>75</v>
      </c>
      <c r="AH109" s="47">
        <f t="shared" si="19"/>
        <v>30.3</v>
      </c>
      <c r="AI109" s="48">
        <f t="shared" si="20"/>
        <v>-19.100000000000001</v>
      </c>
    </row>
    <row r="110" spans="1:37" x14ac:dyDescent="0.25">
      <c r="A110" s="103" t="s">
        <v>114</v>
      </c>
      <c r="B110" s="115">
        <v>-22</v>
      </c>
      <c r="C110" s="115">
        <v>-17</v>
      </c>
      <c r="D110" s="115">
        <v>-9.6999999999999993</v>
      </c>
      <c r="E110" s="115">
        <v>-13.3</v>
      </c>
      <c r="F110" s="115">
        <v>-15.7</v>
      </c>
      <c r="G110" s="115">
        <v>-22.7</v>
      </c>
      <c r="H110" s="115">
        <v>-12.5</v>
      </c>
      <c r="I110" s="115">
        <v>-1.7</v>
      </c>
      <c r="J110" s="115">
        <v>13.3</v>
      </c>
      <c r="K110" s="115">
        <v>33.4</v>
      </c>
      <c r="L110" s="115">
        <v>32.4</v>
      </c>
      <c r="M110" s="115">
        <v>32.799999999999997</v>
      </c>
      <c r="N110" s="115">
        <v>5.7</v>
      </c>
      <c r="O110" s="115">
        <v>-6.7</v>
      </c>
      <c r="P110" s="115">
        <v>-2.2999999999999998</v>
      </c>
      <c r="Q110" s="115">
        <v>5.2</v>
      </c>
      <c r="R110" s="115">
        <v>-10.199999999999999</v>
      </c>
      <c r="S110" s="115">
        <v>-4.5999999999999996</v>
      </c>
      <c r="T110" s="115">
        <v>-13.5</v>
      </c>
      <c r="U110" s="115">
        <v>-6.2</v>
      </c>
      <c r="V110" s="115">
        <v>-3.9</v>
      </c>
      <c r="W110" s="115">
        <v>-4.2</v>
      </c>
      <c r="X110" s="115">
        <v>9.3000000000000007</v>
      </c>
      <c r="Y110" s="115">
        <v>21</v>
      </c>
      <c r="Z110" s="115">
        <v>12</v>
      </c>
      <c r="AA110" s="115">
        <v>7.6</v>
      </c>
      <c r="AB110" s="115">
        <v>6.3</v>
      </c>
      <c r="AC110" s="115">
        <v>3.4</v>
      </c>
      <c r="AD110" s="115">
        <v>-8.6999999999999993</v>
      </c>
      <c r="AE110" s="115">
        <v>-21.3</v>
      </c>
      <c r="AF110" s="115">
        <v>-20.399999999999999</v>
      </c>
      <c r="AG110" s="114">
        <v>240</v>
      </c>
      <c r="AH110" s="47">
        <f t="shared" si="19"/>
        <v>33.4</v>
      </c>
      <c r="AI110" s="48">
        <f t="shared" si="20"/>
        <v>-22.7</v>
      </c>
    </row>
    <row r="111" spans="1:37" x14ac:dyDescent="0.25">
      <c r="A111" s="103" t="s">
        <v>115</v>
      </c>
      <c r="B111" s="115">
        <v>-6</v>
      </c>
      <c r="C111" s="115">
        <v>-10</v>
      </c>
      <c r="D111" s="115">
        <v>-17.600000000000001</v>
      </c>
      <c r="E111" s="115">
        <v>-15.7</v>
      </c>
      <c r="F111" s="115">
        <v>-11.9</v>
      </c>
      <c r="G111" s="115">
        <v>8.1</v>
      </c>
      <c r="H111" s="115">
        <v>9.4</v>
      </c>
      <c r="I111" s="115">
        <v>13.1</v>
      </c>
      <c r="J111" s="115">
        <v>22.3</v>
      </c>
      <c r="K111" s="115">
        <v>30.4</v>
      </c>
      <c r="L111" s="115">
        <v>40.4</v>
      </c>
      <c r="M111" s="115">
        <v>32.5</v>
      </c>
      <c r="N111" s="115">
        <v>46.6</v>
      </c>
      <c r="O111" s="115">
        <v>51.6</v>
      </c>
      <c r="P111" s="115">
        <v>42.1</v>
      </c>
      <c r="Q111" s="115">
        <v>31.5</v>
      </c>
      <c r="R111" s="115">
        <v>30.6</v>
      </c>
      <c r="S111" s="115">
        <v>27</v>
      </c>
      <c r="T111" s="115">
        <v>32</v>
      </c>
      <c r="U111" s="115">
        <v>40</v>
      </c>
      <c r="V111" s="115">
        <v>38</v>
      </c>
      <c r="W111" s="115">
        <v>44</v>
      </c>
      <c r="X111" s="115">
        <v>50</v>
      </c>
      <c r="Y111" s="115">
        <v>63</v>
      </c>
      <c r="Z111" s="115">
        <v>71</v>
      </c>
      <c r="AA111" s="115">
        <v>64</v>
      </c>
      <c r="AB111" s="115">
        <f>13.5+31</f>
        <v>44.5</v>
      </c>
      <c r="AC111" s="115">
        <v>40.9</v>
      </c>
      <c r="AD111" s="115">
        <f>18.1+17.4</f>
        <v>35.5</v>
      </c>
      <c r="AE111" s="115">
        <f>10.7+9.6</f>
        <v>20.299999999999997</v>
      </c>
      <c r="AF111" s="115">
        <v>0.2</v>
      </c>
      <c r="AG111" s="114">
        <v>240</v>
      </c>
      <c r="AH111" s="47">
        <f t="shared" si="19"/>
        <v>71</v>
      </c>
      <c r="AI111" s="48">
        <f t="shared" si="20"/>
        <v>-17.600000000000001</v>
      </c>
    </row>
    <row r="112" spans="1:37" x14ac:dyDescent="0.25">
      <c r="A112" s="103" t="s">
        <v>116</v>
      </c>
      <c r="B112" s="115">
        <v>1</v>
      </c>
      <c r="C112" s="115">
        <v>0</v>
      </c>
      <c r="D112" s="115">
        <v>-3.7</v>
      </c>
      <c r="E112" s="115">
        <v>-3.1</v>
      </c>
      <c r="F112" s="115">
        <v>-4</v>
      </c>
      <c r="G112" s="115">
        <v>0.9</v>
      </c>
      <c r="H112" s="115">
        <v>0.9</v>
      </c>
      <c r="I112" s="115">
        <v>2.2999999999999998</v>
      </c>
      <c r="J112" s="115">
        <v>4.7</v>
      </c>
      <c r="K112" s="115">
        <v>15</v>
      </c>
      <c r="L112" s="115">
        <v>19.5</v>
      </c>
      <c r="M112" s="115">
        <v>29</v>
      </c>
      <c r="N112" s="115">
        <v>28.1</v>
      </c>
      <c r="O112" s="115">
        <v>32.299999999999997</v>
      </c>
      <c r="P112" s="115">
        <v>28.4</v>
      </c>
      <c r="Q112" s="115">
        <v>25.9</v>
      </c>
      <c r="R112" s="115">
        <v>25.2</v>
      </c>
      <c r="S112" s="115">
        <v>28</v>
      </c>
      <c r="T112" s="115">
        <v>38</v>
      </c>
      <c r="U112" s="115">
        <v>48</v>
      </c>
      <c r="V112" s="115">
        <v>47</v>
      </c>
      <c r="W112" s="115">
        <v>39</v>
      </c>
      <c r="X112" s="115">
        <v>37</v>
      </c>
      <c r="Y112" s="115">
        <v>48</v>
      </c>
      <c r="Z112" s="115">
        <v>59</v>
      </c>
      <c r="AA112" s="115">
        <v>50</v>
      </c>
      <c r="AB112" s="115">
        <v>44</v>
      </c>
      <c r="AC112" s="115">
        <v>35</v>
      </c>
      <c r="AD112" s="115">
        <v>25.4</v>
      </c>
      <c r="AE112" s="115">
        <v>7.6</v>
      </c>
      <c r="AF112" s="115">
        <v>2.2000000000000002</v>
      </c>
      <c r="AG112" s="114">
        <v>60</v>
      </c>
      <c r="AH112" s="47">
        <f t="shared" si="19"/>
        <v>59</v>
      </c>
      <c r="AI112" s="48">
        <f t="shared" si="20"/>
        <v>-4</v>
      </c>
    </row>
    <row r="113" spans="1:37" x14ac:dyDescent="0.25">
      <c r="A113" s="116" t="s">
        <v>117</v>
      </c>
      <c r="B113" s="117">
        <v>75</v>
      </c>
      <c r="C113" s="117">
        <v>70</v>
      </c>
      <c r="D113" s="117">
        <v>58.9</v>
      </c>
      <c r="E113" s="117">
        <v>60.9</v>
      </c>
      <c r="F113" s="117">
        <v>66</v>
      </c>
      <c r="G113" s="117">
        <v>90.5</v>
      </c>
      <c r="H113" s="117">
        <v>87.3</v>
      </c>
      <c r="I113" s="117">
        <v>95.8</v>
      </c>
      <c r="J113" s="117">
        <v>106.6</v>
      </c>
      <c r="K113" s="117">
        <v>109.6</v>
      </c>
      <c r="L113" s="117">
        <v>123.5</v>
      </c>
      <c r="M113" s="117">
        <v>97</v>
      </c>
      <c r="N113" s="117">
        <v>116.2</v>
      </c>
      <c r="O113" s="117">
        <v>121.8</v>
      </c>
      <c r="P113" s="117">
        <v>117</v>
      </c>
      <c r="Q113" s="117">
        <v>102.1</v>
      </c>
      <c r="R113" s="117">
        <v>110.3</v>
      </c>
      <c r="S113" s="117">
        <v>98</v>
      </c>
      <c r="T113" s="117">
        <v>109.4</v>
      </c>
      <c r="U113" s="117">
        <v>98</v>
      </c>
      <c r="V113" s="117">
        <v>96</v>
      </c>
      <c r="W113" s="117">
        <v>102</v>
      </c>
      <c r="X113" s="117">
        <v>109.2</v>
      </c>
      <c r="Y113" s="117">
        <v>110</v>
      </c>
      <c r="Z113" s="117">
        <v>116</v>
      </c>
      <c r="AA113" s="117">
        <v>104</v>
      </c>
      <c r="AB113" s="117">
        <v>87.6</v>
      </c>
      <c r="AC113" s="117">
        <v>79.8</v>
      </c>
      <c r="AD113" s="117">
        <v>104.2</v>
      </c>
      <c r="AE113" s="117">
        <v>101</v>
      </c>
      <c r="AF113" s="117">
        <v>82.2</v>
      </c>
      <c r="AG113" s="118">
        <v>120</v>
      </c>
      <c r="AH113" s="47">
        <f t="shared" si="19"/>
        <v>123.5</v>
      </c>
      <c r="AI113" s="48">
        <f t="shared" si="20"/>
        <v>58.9</v>
      </c>
    </row>
    <row r="114" spans="1:37" x14ac:dyDescent="0.25">
      <c r="A114" s="116" t="s">
        <v>118</v>
      </c>
      <c r="B114" s="117">
        <v>72</v>
      </c>
      <c r="C114" s="117">
        <v>70</v>
      </c>
      <c r="D114" s="117">
        <v>55.7</v>
      </c>
      <c r="E114" s="117">
        <v>57.5</v>
      </c>
      <c r="F114" s="117">
        <v>62.6</v>
      </c>
      <c r="G114" s="117">
        <v>81.400000000000006</v>
      </c>
      <c r="H114" s="117">
        <v>79.2</v>
      </c>
      <c r="I114" s="117">
        <v>80.3</v>
      </c>
      <c r="J114" s="117">
        <v>83.1</v>
      </c>
      <c r="K114" s="117">
        <v>78.3</v>
      </c>
      <c r="L114" s="117">
        <v>86.3</v>
      </c>
      <c r="M114" s="117">
        <v>76.7</v>
      </c>
      <c r="N114" s="117">
        <v>86.8</v>
      </c>
      <c r="O114" s="117">
        <v>97.3</v>
      </c>
      <c r="P114" s="117">
        <v>98.2</v>
      </c>
      <c r="Q114" s="117">
        <v>82.1</v>
      </c>
      <c r="R114" s="117">
        <v>89.9</v>
      </c>
      <c r="S114" s="117">
        <v>80</v>
      </c>
      <c r="T114" s="117">
        <v>89</v>
      </c>
      <c r="U114" s="117">
        <v>78</v>
      </c>
      <c r="V114" s="117">
        <v>72</v>
      </c>
      <c r="W114" s="117">
        <v>82</v>
      </c>
      <c r="X114" s="117">
        <v>86</v>
      </c>
      <c r="Y114" s="117">
        <v>92</v>
      </c>
      <c r="Z114" s="117">
        <v>88</v>
      </c>
      <c r="AA114" s="117">
        <v>90</v>
      </c>
      <c r="AB114" s="117">
        <v>92.2</v>
      </c>
      <c r="AC114" s="117">
        <v>92.5</v>
      </c>
      <c r="AD114" s="117">
        <v>82.1</v>
      </c>
      <c r="AE114" s="117">
        <v>84.9</v>
      </c>
      <c r="AF114" s="117">
        <v>78.5</v>
      </c>
      <c r="AG114" s="118"/>
      <c r="AH114" s="47">
        <f t="shared" si="19"/>
        <v>98.2</v>
      </c>
      <c r="AI114" s="48">
        <f t="shared" si="20"/>
        <v>55.7</v>
      </c>
    </row>
    <row r="115" spans="1:37" x14ac:dyDescent="0.25">
      <c r="A115" s="116" t="s">
        <v>119</v>
      </c>
      <c r="B115" s="117">
        <v>90</v>
      </c>
      <c r="C115" s="117">
        <v>55</v>
      </c>
      <c r="D115" s="117">
        <v>46.5</v>
      </c>
      <c r="E115" s="117">
        <v>38.6</v>
      </c>
      <c r="F115" s="117">
        <v>42</v>
      </c>
      <c r="G115" s="117">
        <v>42.9</v>
      </c>
      <c r="H115" s="117">
        <v>45.6</v>
      </c>
      <c r="I115" s="117">
        <v>33</v>
      </c>
      <c r="J115" s="117">
        <v>18.600000000000001</v>
      </c>
      <c r="K115" s="117">
        <v>25</v>
      </c>
      <c r="L115" s="117">
        <v>26</v>
      </c>
      <c r="M115" s="117"/>
      <c r="N115" s="117">
        <v>15.8</v>
      </c>
      <c r="O115" s="117"/>
      <c r="P115" s="117"/>
      <c r="Q115" s="117"/>
      <c r="R115" s="117"/>
      <c r="S115" s="117"/>
      <c r="T115" s="117">
        <v>32</v>
      </c>
      <c r="U115" s="117">
        <v>33</v>
      </c>
      <c r="V115" s="117">
        <v>32</v>
      </c>
      <c r="W115" s="117">
        <v>21</v>
      </c>
      <c r="X115" s="117">
        <v>19</v>
      </c>
      <c r="Y115" s="117"/>
      <c r="Z115" s="117">
        <v>12.3</v>
      </c>
      <c r="AA115" s="117"/>
      <c r="AB115" s="117"/>
      <c r="AC115" s="117"/>
      <c r="AD115" s="117"/>
      <c r="AE115" s="117"/>
      <c r="AF115" s="117"/>
      <c r="AG115" s="119"/>
      <c r="AH115" s="47">
        <f t="shared" si="19"/>
        <v>90</v>
      </c>
      <c r="AI115" s="48">
        <f t="shared" si="20"/>
        <v>12.3</v>
      </c>
    </row>
    <row r="116" spans="1:37" x14ac:dyDescent="0.25">
      <c r="A116" s="120" t="s">
        <v>120</v>
      </c>
      <c r="B116" s="106">
        <v>-3</v>
      </c>
      <c r="C116" s="106">
        <v>0</v>
      </c>
      <c r="D116" s="106">
        <v>1.8</v>
      </c>
      <c r="E116" s="106">
        <v>6.4</v>
      </c>
      <c r="F116" s="106">
        <v>7</v>
      </c>
      <c r="G116" s="106">
        <v>-3.3</v>
      </c>
      <c r="H116" s="106">
        <v>-10.1</v>
      </c>
      <c r="I116" s="106">
        <v>-20</v>
      </c>
      <c r="J116" s="106">
        <v>-41.3</v>
      </c>
      <c r="K116" s="106">
        <v>-54.5</v>
      </c>
      <c r="L116" s="106">
        <v>-63</v>
      </c>
      <c r="M116" s="106">
        <v>-53.1</v>
      </c>
      <c r="N116" s="106">
        <v>-51.1</v>
      </c>
      <c r="O116" s="106">
        <v>-42.6</v>
      </c>
      <c r="P116" s="106">
        <v>36</v>
      </c>
      <c r="Q116" s="106">
        <v>31.2</v>
      </c>
      <c r="R116" s="106">
        <v>-19</v>
      </c>
      <c r="S116" s="106">
        <v>-25</v>
      </c>
      <c r="T116" s="106">
        <v>-43</v>
      </c>
      <c r="U116" s="106">
        <v>-38</v>
      </c>
      <c r="V116" s="106">
        <v>-46</v>
      </c>
      <c r="W116" s="106">
        <v>-52.4</v>
      </c>
      <c r="X116" s="106">
        <v>-65</v>
      </c>
      <c r="Y116" s="106">
        <v>-71</v>
      </c>
      <c r="Z116" s="106">
        <v>-58</v>
      </c>
      <c r="AA116" s="106">
        <v>-50</v>
      </c>
      <c r="AB116" s="106">
        <v>-38</v>
      </c>
      <c r="AC116" s="106">
        <v>-35.200000000000003</v>
      </c>
      <c r="AD116" s="106">
        <v>-18.399999999999999</v>
      </c>
      <c r="AE116" s="106">
        <v>-2.63</v>
      </c>
      <c r="AF116" s="106">
        <v>3.7</v>
      </c>
      <c r="AG116" s="119"/>
      <c r="AH116" s="47">
        <f t="shared" si="19"/>
        <v>36</v>
      </c>
      <c r="AI116" s="48">
        <f t="shared" si="20"/>
        <v>-71</v>
      </c>
    </row>
    <row r="117" spans="1:37" ht="15.75" thickBot="1" x14ac:dyDescent="0.3">
      <c r="A117" s="120" t="s">
        <v>121</v>
      </c>
      <c r="B117" s="106">
        <v>70</v>
      </c>
      <c r="C117" s="106">
        <v>72</v>
      </c>
      <c r="D117" s="106">
        <v>64.599999999999994</v>
      </c>
      <c r="E117" s="106">
        <v>63.2</v>
      </c>
      <c r="F117" s="106">
        <v>58.4</v>
      </c>
      <c r="G117" s="106">
        <v>63.1</v>
      </c>
      <c r="H117" s="106">
        <v>68.400000000000006</v>
      </c>
      <c r="I117" s="106">
        <v>67.5</v>
      </c>
      <c r="J117" s="106">
        <v>83.4</v>
      </c>
      <c r="K117" s="106">
        <v>71</v>
      </c>
      <c r="L117" s="106">
        <v>75.7</v>
      </c>
      <c r="M117" s="106">
        <v>73.599999999999994</v>
      </c>
      <c r="N117" s="106">
        <v>68.2</v>
      </c>
      <c r="O117" s="106">
        <v>61.8</v>
      </c>
      <c r="P117" s="106">
        <v>71.2</v>
      </c>
      <c r="Q117" s="106">
        <v>84</v>
      </c>
      <c r="R117" s="106">
        <v>79.3</v>
      </c>
      <c r="S117" s="106">
        <v>87</v>
      </c>
      <c r="T117" s="106">
        <v>86.4</v>
      </c>
      <c r="U117" s="106">
        <v>94</v>
      </c>
      <c r="V117" s="106">
        <v>87</v>
      </c>
      <c r="W117" s="106">
        <v>71</v>
      </c>
      <c r="X117" s="106">
        <v>72</v>
      </c>
      <c r="Y117" s="106">
        <v>105</v>
      </c>
      <c r="Z117" s="106">
        <v>88</v>
      </c>
      <c r="AA117" s="106">
        <v>80</v>
      </c>
      <c r="AB117" s="106">
        <v>86.9</v>
      </c>
      <c r="AC117" s="106">
        <v>90.5</v>
      </c>
      <c r="AD117" s="106">
        <v>85.9</v>
      </c>
      <c r="AE117" s="106">
        <v>77.900000000000006</v>
      </c>
      <c r="AF117" s="106">
        <v>67.7</v>
      </c>
      <c r="AG117" s="119"/>
      <c r="AH117" s="47">
        <f t="shared" si="19"/>
        <v>105</v>
      </c>
      <c r="AI117" s="48">
        <f t="shared" si="20"/>
        <v>58.4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33">SUM(B119:B223)</f>
        <v>0</v>
      </c>
      <c r="C224" s="136">
        <f t="shared" si="33"/>
        <v>0</v>
      </c>
      <c r="D224" s="136">
        <f t="shared" si="33"/>
        <v>0</v>
      </c>
      <c r="E224" s="136">
        <f t="shared" si="33"/>
        <v>0</v>
      </c>
      <c r="F224" s="136">
        <f t="shared" si="33"/>
        <v>0</v>
      </c>
      <c r="G224" s="136">
        <f t="shared" si="33"/>
        <v>0</v>
      </c>
      <c r="H224" s="136">
        <f t="shared" si="33"/>
        <v>0</v>
      </c>
      <c r="I224" s="136">
        <f t="shared" si="33"/>
        <v>0</v>
      </c>
      <c r="J224" s="136">
        <f t="shared" si="33"/>
        <v>0</v>
      </c>
      <c r="K224" s="136">
        <f t="shared" si="33"/>
        <v>0</v>
      </c>
      <c r="L224" s="136">
        <f t="shared" si="33"/>
        <v>0</v>
      </c>
      <c r="M224" s="136">
        <f t="shared" si="33"/>
        <v>0</v>
      </c>
      <c r="N224" s="136">
        <f t="shared" si="33"/>
        <v>0</v>
      </c>
      <c r="O224" s="136">
        <f t="shared" si="33"/>
        <v>0</v>
      </c>
      <c r="P224" s="136">
        <f t="shared" si="33"/>
        <v>0</v>
      </c>
      <c r="Q224" s="136">
        <f t="shared" si="33"/>
        <v>0</v>
      </c>
      <c r="R224" s="136">
        <f t="shared" si="33"/>
        <v>0</v>
      </c>
      <c r="S224" s="136">
        <f t="shared" si="33"/>
        <v>0</v>
      </c>
      <c r="T224" s="136">
        <f t="shared" si="33"/>
        <v>0</v>
      </c>
      <c r="U224" s="136">
        <f t="shared" si="33"/>
        <v>0</v>
      </c>
      <c r="V224" s="136">
        <f t="shared" si="33"/>
        <v>0</v>
      </c>
      <c r="W224" s="136">
        <f t="shared" si="33"/>
        <v>0</v>
      </c>
      <c r="X224" s="136">
        <f t="shared" si="33"/>
        <v>0</v>
      </c>
      <c r="Y224" s="136">
        <f t="shared" si="33"/>
        <v>0</v>
      </c>
      <c r="Z224" s="136">
        <f t="shared" si="33"/>
        <v>0</v>
      </c>
      <c r="AA224" s="136">
        <f t="shared" si="33"/>
        <v>0</v>
      </c>
      <c r="AB224" s="136">
        <f t="shared" si="33"/>
        <v>0</v>
      </c>
      <c r="AC224" s="136">
        <f t="shared" si="33"/>
        <v>0</v>
      </c>
      <c r="AD224" s="136">
        <f t="shared" si="33"/>
        <v>0</v>
      </c>
      <c r="AE224" s="136">
        <f t="shared" si="33"/>
        <v>0</v>
      </c>
      <c r="AF224" s="137">
        <f t="shared" si="33"/>
        <v>0</v>
      </c>
      <c r="AG224" s="138">
        <f t="shared" si="33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34">AF226</f>
        <v>0</v>
      </c>
      <c r="C226" s="140">
        <v>0.3</v>
      </c>
      <c r="D226" s="140">
        <f t="shared" ref="D226:P231" si="35">C226</f>
        <v>0.3</v>
      </c>
      <c r="E226" s="140">
        <f t="shared" si="35"/>
        <v>0.3</v>
      </c>
      <c r="F226" s="140">
        <f t="shared" si="35"/>
        <v>0.3</v>
      </c>
      <c r="G226" s="140">
        <f t="shared" si="35"/>
        <v>0.3</v>
      </c>
      <c r="H226" s="140">
        <f t="shared" si="35"/>
        <v>0.3</v>
      </c>
      <c r="I226" s="140">
        <f t="shared" si="35"/>
        <v>0.3</v>
      </c>
      <c r="J226" s="140">
        <f t="shared" si="35"/>
        <v>0.3</v>
      </c>
      <c r="K226" s="140">
        <f t="shared" si="35"/>
        <v>0.3</v>
      </c>
      <c r="L226" s="140">
        <f t="shared" si="35"/>
        <v>0.3</v>
      </c>
      <c r="M226" s="140">
        <f t="shared" si="35"/>
        <v>0.3</v>
      </c>
      <c r="N226" s="140">
        <f t="shared" si="35"/>
        <v>0.3</v>
      </c>
      <c r="O226" s="140">
        <f t="shared" si="35"/>
        <v>0.3</v>
      </c>
      <c r="P226" s="140">
        <f t="shared" si="35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34"/>
        <v>0</v>
      </c>
      <c r="C227" s="128">
        <v>0.4</v>
      </c>
      <c r="D227" s="128">
        <f t="shared" si="35"/>
        <v>0.4</v>
      </c>
      <c r="E227" s="128">
        <f t="shared" si="35"/>
        <v>0.4</v>
      </c>
      <c r="F227" s="128">
        <f t="shared" si="35"/>
        <v>0.4</v>
      </c>
      <c r="G227" s="128">
        <f t="shared" si="35"/>
        <v>0.4</v>
      </c>
      <c r="H227" s="128">
        <f t="shared" si="35"/>
        <v>0.4</v>
      </c>
      <c r="I227" s="128">
        <f t="shared" si="35"/>
        <v>0.4</v>
      </c>
      <c r="J227" s="128">
        <f t="shared" si="35"/>
        <v>0.4</v>
      </c>
      <c r="K227" s="128">
        <f t="shared" si="35"/>
        <v>0.4</v>
      </c>
      <c r="L227" s="128">
        <f t="shared" si="35"/>
        <v>0.4</v>
      </c>
      <c r="M227" s="128">
        <f t="shared" si="35"/>
        <v>0.4</v>
      </c>
      <c r="N227" s="128">
        <f t="shared" si="35"/>
        <v>0.4</v>
      </c>
      <c r="O227" s="128">
        <f t="shared" si="35"/>
        <v>0.4</v>
      </c>
      <c r="P227" s="128">
        <f t="shared" si="35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34"/>
        <v>0</v>
      </c>
      <c r="C228" s="128">
        <v>1.5</v>
      </c>
      <c r="D228" s="128">
        <f t="shared" si="35"/>
        <v>1.5</v>
      </c>
      <c r="E228" s="128">
        <f t="shared" si="35"/>
        <v>1.5</v>
      </c>
      <c r="F228" s="128">
        <f t="shared" si="35"/>
        <v>1.5</v>
      </c>
      <c r="G228" s="128">
        <f t="shared" si="35"/>
        <v>1.5</v>
      </c>
      <c r="H228" s="128">
        <f t="shared" si="35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35"/>
        <v>1.5</v>
      </c>
      <c r="K228" s="128">
        <f t="shared" ca="1" si="35"/>
        <v>1.5</v>
      </c>
      <c r="L228" s="128">
        <f t="shared" ca="1" si="35"/>
        <v>1.5</v>
      </c>
      <c r="M228" s="128">
        <f t="shared" ca="1" si="35"/>
        <v>1.5</v>
      </c>
      <c r="N228" s="128">
        <f t="shared" ca="1" si="35"/>
        <v>1.5</v>
      </c>
      <c r="O228" s="128">
        <f t="shared" ca="1" si="35"/>
        <v>1.5</v>
      </c>
      <c r="P228" s="128">
        <f t="shared" ca="1" si="35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34"/>
        <v>0</v>
      </c>
      <c r="C229" s="128">
        <v>0.3</v>
      </c>
      <c r="D229" s="128">
        <f t="shared" si="35"/>
        <v>0.3</v>
      </c>
      <c r="E229" s="128">
        <f t="shared" si="35"/>
        <v>0.3</v>
      </c>
      <c r="F229" s="128">
        <f t="shared" si="35"/>
        <v>0.3</v>
      </c>
      <c r="G229" s="128">
        <f t="shared" si="35"/>
        <v>0.3</v>
      </c>
      <c r="H229" s="128">
        <f t="shared" si="35"/>
        <v>0.3</v>
      </c>
      <c r="I229" s="128">
        <f t="shared" si="35"/>
        <v>0.3</v>
      </c>
      <c r="J229" s="128">
        <f t="shared" si="35"/>
        <v>0.3</v>
      </c>
      <c r="K229" s="128">
        <f t="shared" si="35"/>
        <v>0.3</v>
      </c>
      <c r="L229" s="128">
        <f t="shared" si="35"/>
        <v>0.3</v>
      </c>
      <c r="M229" s="128">
        <f t="shared" si="35"/>
        <v>0.3</v>
      </c>
      <c r="N229" s="128">
        <f t="shared" si="35"/>
        <v>0.3</v>
      </c>
      <c r="O229" s="128">
        <f t="shared" si="35"/>
        <v>0.3</v>
      </c>
      <c r="P229" s="128">
        <f t="shared" si="35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34"/>
        <v>0</v>
      </c>
      <c r="C230" s="128">
        <v>0.4</v>
      </c>
      <c r="D230" s="128">
        <f t="shared" si="35"/>
        <v>0.4</v>
      </c>
      <c r="E230" s="128">
        <f t="shared" si="35"/>
        <v>0.4</v>
      </c>
      <c r="F230" s="128">
        <f t="shared" si="35"/>
        <v>0.4</v>
      </c>
      <c r="G230" s="128">
        <f t="shared" si="35"/>
        <v>0.4</v>
      </c>
      <c r="H230" s="128">
        <f t="shared" si="35"/>
        <v>0.4</v>
      </c>
      <c r="I230" s="128">
        <f t="shared" si="35"/>
        <v>0.4</v>
      </c>
      <c r="J230" s="128">
        <f t="shared" si="35"/>
        <v>0.4</v>
      </c>
      <c r="K230" s="128">
        <f t="shared" si="35"/>
        <v>0.4</v>
      </c>
      <c r="L230" s="128">
        <f t="shared" si="35"/>
        <v>0.4</v>
      </c>
      <c r="M230" s="128">
        <f t="shared" si="35"/>
        <v>0.4</v>
      </c>
      <c r="N230" s="128">
        <f t="shared" si="35"/>
        <v>0.4</v>
      </c>
      <c r="O230" s="128">
        <f t="shared" si="35"/>
        <v>0.4</v>
      </c>
      <c r="P230" s="128">
        <f t="shared" si="35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34"/>
        <v>0</v>
      </c>
      <c r="C231" s="132">
        <v>0.64</v>
      </c>
      <c r="D231" s="132">
        <f t="shared" si="35"/>
        <v>0.64</v>
      </c>
      <c r="E231" s="132">
        <f t="shared" si="35"/>
        <v>0.64</v>
      </c>
      <c r="F231" s="132">
        <f t="shared" si="35"/>
        <v>0.64</v>
      </c>
      <c r="G231" s="132">
        <f t="shared" si="35"/>
        <v>0.64</v>
      </c>
      <c r="H231" s="132">
        <f t="shared" si="35"/>
        <v>0.64</v>
      </c>
      <c r="I231" s="132">
        <f t="shared" si="35"/>
        <v>0.64</v>
      </c>
      <c r="J231" s="132">
        <f t="shared" si="35"/>
        <v>0.64</v>
      </c>
      <c r="K231" s="132">
        <f t="shared" si="35"/>
        <v>0.64</v>
      </c>
      <c r="L231" s="132">
        <f t="shared" si="35"/>
        <v>0.64</v>
      </c>
      <c r="M231" s="132">
        <f t="shared" si="35"/>
        <v>0.64</v>
      </c>
      <c r="N231" s="132">
        <f t="shared" si="35"/>
        <v>0.64</v>
      </c>
      <c r="O231" s="132">
        <f t="shared" si="35"/>
        <v>0.64</v>
      </c>
      <c r="P231" s="132">
        <f t="shared" si="35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6">SUM(B226:B231)</f>
        <v>0</v>
      </c>
      <c r="C232" s="136">
        <f t="shared" si="36"/>
        <v>3.54</v>
      </c>
      <c r="D232" s="136">
        <f t="shared" si="36"/>
        <v>3.54</v>
      </c>
      <c r="E232" s="136">
        <f t="shared" si="36"/>
        <v>3.54</v>
      </c>
      <c r="F232" s="136">
        <f t="shared" si="36"/>
        <v>3.54</v>
      </c>
      <c r="G232" s="136">
        <f t="shared" si="36"/>
        <v>3.54</v>
      </c>
      <c r="H232" s="136">
        <f t="shared" si="36"/>
        <v>3.54</v>
      </c>
      <c r="I232" s="136">
        <f t="shared" ca="1" si="36"/>
        <v>3.54</v>
      </c>
      <c r="J232" s="136">
        <f t="shared" ca="1" si="36"/>
        <v>3.54</v>
      </c>
      <c r="K232" s="136">
        <f t="shared" ca="1" si="36"/>
        <v>3.54</v>
      </c>
      <c r="L232" s="136">
        <f t="shared" ca="1" si="36"/>
        <v>3.54</v>
      </c>
      <c r="M232" s="136">
        <f t="shared" ca="1" si="36"/>
        <v>3.54</v>
      </c>
      <c r="N232" s="136">
        <f t="shared" ca="1" si="36"/>
        <v>3.54</v>
      </c>
      <c r="O232" s="136">
        <f t="shared" ca="1" si="36"/>
        <v>3.54</v>
      </c>
      <c r="P232" s="136">
        <f t="shared" ca="1" si="36"/>
        <v>3.54</v>
      </c>
      <c r="Q232" s="136">
        <f t="shared" si="36"/>
        <v>0</v>
      </c>
      <c r="R232" s="136">
        <f t="shared" si="36"/>
        <v>0</v>
      </c>
      <c r="S232" s="136">
        <f t="shared" si="36"/>
        <v>0</v>
      </c>
      <c r="T232" s="136">
        <f t="shared" si="36"/>
        <v>0</v>
      </c>
      <c r="U232" s="136">
        <f t="shared" si="36"/>
        <v>0</v>
      </c>
      <c r="V232" s="136">
        <f t="shared" si="36"/>
        <v>0</v>
      </c>
      <c r="W232" s="136">
        <f t="shared" si="36"/>
        <v>0</v>
      </c>
      <c r="X232" s="136">
        <f t="shared" si="36"/>
        <v>0</v>
      </c>
      <c r="Y232" s="136">
        <f t="shared" si="36"/>
        <v>0</v>
      </c>
      <c r="Z232" s="136">
        <f t="shared" si="36"/>
        <v>0</v>
      </c>
      <c r="AA232" s="136">
        <f t="shared" si="36"/>
        <v>0</v>
      </c>
      <c r="AB232" s="136">
        <f t="shared" si="36"/>
        <v>0</v>
      </c>
      <c r="AC232" s="136">
        <f t="shared" si="36"/>
        <v>0</v>
      </c>
      <c r="AD232" s="136">
        <f t="shared" si="36"/>
        <v>0</v>
      </c>
      <c r="AE232" s="136">
        <f t="shared" si="36"/>
        <v>0</v>
      </c>
      <c r="AF232" s="136">
        <f t="shared" si="36"/>
        <v>0</v>
      </c>
      <c r="AG232" s="145">
        <f t="shared" si="36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1512.44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17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2079/11/17)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2079/11/17)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7">B89</f>
        <v>998.04</v>
      </c>
      <c r="U246" s="170">
        <f t="shared" si="37"/>
        <v>976.04</v>
      </c>
      <c r="V246" s="170">
        <f t="shared" si="37"/>
        <v>959.54</v>
      </c>
      <c r="W246" s="170">
        <f t="shared" si="37"/>
        <v>960.74</v>
      </c>
      <c r="X246" s="170">
        <f t="shared" si="37"/>
        <v>972.54</v>
      </c>
      <c r="Y246" s="170">
        <f t="shared" si="37"/>
        <v>1034.74</v>
      </c>
      <c r="Z246" s="170">
        <f t="shared" si="37"/>
        <v>1084.54</v>
      </c>
      <c r="AA246" s="170">
        <f t="shared" si="37"/>
        <v>1133.44</v>
      </c>
      <c r="AB246" s="170">
        <f t="shared" si="37"/>
        <v>1257.74</v>
      </c>
      <c r="AC246" s="170">
        <f t="shared" si="37"/>
        <v>1303.1400000000001</v>
      </c>
      <c r="AD246" s="170">
        <f t="shared" si="37"/>
        <v>1512.44</v>
      </c>
      <c r="AE246" s="170">
        <f t="shared" si="37"/>
        <v>1467.14</v>
      </c>
      <c r="AF246" s="170">
        <f t="shared" si="37"/>
        <v>1391.04</v>
      </c>
      <c r="AG246" s="170">
        <f t="shared" si="37"/>
        <v>1347.94</v>
      </c>
      <c r="AH246" s="170">
        <f t="shared" si="37"/>
        <v>1382.04</v>
      </c>
      <c r="AI246" s="170">
        <f t="shared" si="37"/>
        <v>1224.74</v>
      </c>
      <c r="AJ246" s="170">
        <f t="shared" si="37"/>
        <v>1217.94</v>
      </c>
      <c r="AK246" s="170">
        <f t="shared" si="37"/>
        <v>1231.04</v>
      </c>
      <c r="AL246" s="170">
        <f t="shared" si="37"/>
        <v>1263.04</v>
      </c>
      <c r="AM246" s="170">
        <f t="shared" si="37"/>
        <v>1307.24</v>
      </c>
      <c r="AN246" s="170">
        <f t="shared" si="37"/>
        <v>1276.24</v>
      </c>
      <c r="AO246" s="170">
        <f t="shared" si="37"/>
        <v>1207.74</v>
      </c>
      <c r="AP246" s="170">
        <f t="shared" si="37"/>
        <v>1447.6399999999999</v>
      </c>
      <c r="AQ246" s="170">
        <f t="shared" si="37"/>
        <v>1641.94</v>
      </c>
      <c r="AR246" s="170">
        <f t="shared" si="37"/>
        <v>1594.04</v>
      </c>
      <c r="AS246" s="170">
        <f t="shared" si="37"/>
        <v>1523.44</v>
      </c>
      <c r="AT246" s="170">
        <f t="shared" si="37"/>
        <v>1468.54</v>
      </c>
      <c r="AU246" s="170">
        <f t="shared" si="37"/>
        <v>1408.54</v>
      </c>
      <c r="AV246" s="170">
        <f t="shared" si="37"/>
        <v>1312.84</v>
      </c>
      <c r="AW246" s="170">
        <f t="shared" si="37"/>
        <v>1136.94</v>
      </c>
      <c r="AX246" s="170">
        <f t="shared" si="37"/>
        <v>1046.44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8">C231</f>
        <v>0.64</v>
      </c>
      <c r="C267" s="173">
        <f t="shared" si="38"/>
        <v>0.64</v>
      </c>
      <c r="D267" s="173">
        <f t="shared" si="38"/>
        <v>0.64</v>
      </c>
      <c r="E267" s="173">
        <f t="shared" si="38"/>
        <v>0.64</v>
      </c>
      <c r="F267" s="173">
        <f t="shared" si="38"/>
        <v>0.64</v>
      </c>
      <c r="G267" s="173">
        <f t="shared" si="38"/>
        <v>0.64</v>
      </c>
      <c r="H267" s="173">
        <f t="shared" si="38"/>
        <v>0.64</v>
      </c>
      <c r="I267" s="173">
        <f t="shared" si="38"/>
        <v>0.64</v>
      </c>
      <c r="J267" s="173">
        <f t="shared" si="38"/>
        <v>0.64</v>
      </c>
      <c r="K267" s="173">
        <f t="shared" si="38"/>
        <v>0.64</v>
      </c>
      <c r="L267" s="173">
        <f t="shared" si="38"/>
        <v>0.64</v>
      </c>
      <c r="M267" s="173">
        <f t="shared" si="38"/>
        <v>0.64</v>
      </c>
      <c r="N267" s="173">
        <f t="shared" si="38"/>
        <v>0.64</v>
      </c>
      <c r="O267" s="173">
        <f t="shared" si="38"/>
        <v>0.64</v>
      </c>
      <c r="P267" s="173">
        <f t="shared" si="38"/>
        <v>0</v>
      </c>
      <c r="Q267" s="173">
        <f t="shared" si="38"/>
        <v>0</v>
      </c>
      <c r="R267" s="173">
        <f t="shared" si="38"/>
        <v>0</v>
      </c>
      <c r="S267" s="173">
        <f t="shared" si="38"/>
        <v>0</v>
      </c>
      <c r="T267" s="173">
        <f t="shared" si="38"/>
        <v>0</v>
      </c>
      <c r="U267" s="173">
        <f t="shared" si="38"/>
        <v>0</v>
      </c>
      <c r="V267" s="173">
        <f t="shared" si="38"/>
        <v>0</v>
      </c>
      <c r="W267" s="173">
        <f t="shared" si="38"/>
        <v>0</v>
      </c>
      <c r="X267" s="173">
        <f t="shared" si="38"/>
        <v>0</v>
      </c>
      <c r="Y267" s="173">
        <f t="shared" si="38"/>
        <v>0</v>
      </c>
      <c r="Z267" s="173">
        <f t="shared" si="38"/>
        <v>0</v>
      </c>
      <c r="AA267" s="173">
        <f t="shared" si="38"/>
        <v>0</v>
      </c>
      <c r="AB267" s="173">
        <f t="shared" si="38"/>
        <v>0</v>
      </c>
      <c r="AC267" s="173">
        <f t="shared" si="38"/>
        <v>0</v>
      </c>
      <c r="AD267" s="173">
        <f t="shared" si="38"/>
        <v>0</v>
      </c>
      <c r="AE267" s="173">
        <f t="shared" si="38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9">IF(B235&lt;100,"",B235-520)</f>
        <v/>
      </c>
      <c r="C268" s="174" t="str">
        <f t="shared" si="39"/>
        <v/>
      </c>
      <c r="D268" s="174" t="str">
        <f t="shared" si="39"/>
        <v/>
      </c>
      <c r="E268" s="174" t="str">
        <f t="shared" si="39"/>
        <v/>
      </c>
      <c r="F268" s="174" t="str">
        <f t="shared" si="39"/>
        <v/>
      </c>
      <c r="G268" s="174" t="str">
        <f t="shared" si="39"/>
        <v/>
      </c>
      <c r="H268" s="174" t="str">
        <f t="shared" si="39"/>
        <v/>
      </c>
      <c r="I268" s="174" t="str">
        <f t="shared" si="39"/>
        <v/>
      </c>
      <c r="J268" s="174" t="str">
        <f t="shared" si="39"/>
        <v/>
      </c>
      <c r="K268" s="174" t="str">
        <f t="shared" si="39"/>
        <v/>
      </c>
      <c r="L268" s="174" t="str">
        <f t="shared" si="39"/>
        <v/>
      </c>
      <c r="M268" s="174" t="str">
        <f t="shared" si="39"/>
        <v/>
      </c>
      <c r="N268" s="174" t="str">
        <f t="shared" si="39"/>
        <v/>
      </c>
      <c r="O268" s="174" t="str">
        <f t="shared" si="39"/>
        <v/>
      </c>
      <c r="P268" s="174" t="str">
        <f t="shared" si="39"/>
        <v/>
      </c>
      <c r="Q268" s="174" t="str">
        <f t="shared" si="39"/>
        <v/>
      </c>
      <c r="R268" s="174" t="str">
        <f t="shared" si="39"/>
        <v/>
      </c>
      <c r="S268" s="174" t="str">
        <f t="shared" si="39"/>
        <v/>
      </c>
      <c r="T268" s="174" t="str">
        <f t="shared" si="39"/>
        <v/>
      </c>
      <c r="U268" s="174" t="str">
        <f t="shared" si="39"/>
        <v/>
      </c>
      <c r="V268" s="174" t="str">
        <f t="shared" si="39"/>
        <v/>
      </c>
      <c r="W268" s="174" t="str">
        <f t="shared" si="39"/>
        <v/>
      </c>
      <c r="X268" s="174" t="str">
        <f t="shared" si="39"/>
        <v/>
      </c>
      <c r="Y268" s="174" t="str">
        <f t="shared" si="39"/>
        <v/>
      </c>
      <c r="Z268" s="174" t="str">
        <f t="shared" si="39"/>
        <v/>
      </c>
      <c r="AA268" s="174" t="str">
        <f t="shared" si="39"/>
        <v/>
      </c>
      <c r="AB268" s="174" t="str">
        <f t="shared" si="39"/>
        <v/>
      </c>
      <c r="AC268" s="174" t="str">
        <f t="shared" si="39"/>
        <v/>
      </c>
      <c r="AD268" s="174" t="str">
        <f t="shared" si="39"/>
        <v/>
      </c>
      <c r="AE268" s="174" t="str">
        <f t="shared" si="39"/>
        <v/>
      </c>
      <c r="AF268" s="174" t="str">
        <f t="shared" si="39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40">IF(B236&lt;100,"",B236-620)</f>
        <v/>
      </c>
      <c r="C269" s="174" t="str">
        <f t="shared" si="40"/>
        <v/>
      </c>
      <c r="D269" s="174" t="str">
        <f t="shared" si="40"/>
        <v/>
      </c>
      <c r="E269" s="174" t="str">
        <f t="shared" si="40"/>
        <v/>
      </c>
      <c r="F269" s="174" t="str">
        <f t="shared" si="40"/>
        <v/>
      </c>
      <c r="G269" s="174" t="str">
        <f t="shared" si="40"/>
        <v/>
      </c>
      <c r="H269" s="174" t="str">
        <f t="shared" si="40"/>
        <v/>
      </c>
      <c r="I269" s="174" t="str">
        <f t="shared" si="40"/>
        <v/>
      </c>
      <c r="J269" s="174" t="str">
        <f t="shared" si="40"/>
        <v/>
      </c>
      <c r="K269" s="174" t="str">
        <f t="shared" si="40"/>
        <v/>
      </c>
      <c r="L269" s="174" t="str">
        <f t="shared" si="40"/>
        <v/>
      </c>
      <c r="M269" s="174" t="str">
        <f t="shared" si="40"/>
        <v/>
      </c>
      <c r="N269" s="174" t="str">
        <f t="shared" si="40"/>
        <v/>
      </c>
      <c r="O269" s="174" t="str">
        <f t="shared" si="40"/>
        <v/>
      </c>
      <c r="P269" s="174" t="str">
        <f t="shared" si="40"/>
        <v/>
      </c>
      <c r="Q269" s="174" t="str">
        <f t="shared" si="40"/>
        <v/>
      </c>
      <c r="R269" s="174" t="str">
        <f t="shared" si="40"/>
        <v/>
      </c>
      <c r="S269" s="174" t="str">
        <f t="shared" si="40"/>
        <v/>
      </c>
      <c r="T269" s="174" t="str">
        <f t="shared" si="40"/>
        <v/>
      </c>
      <c r="U269" s="174" t="str">
        <f t="shared" si="40"/>
        <v/>
      </c>
      <c r="V269" s="174" t="str">
        <f t="shared" si="40"/>
        <v/>
      </c>
      <c r="W269" s="174" t="str">
        <f t="shared" si="40"/>
        <v/>
      </c>
      <c r="X269" s="174" t="str">
        <f t="shared" si="40"/>
        <v/>
      </c>
      <c r="Y269" s="174" t="str">
        <f t="shared" si="40"/>
        <v/>
      </c>
      <c r="Z269" s="174" t="str">
        <f t="shared" si="40"/>
        <v/>
      </c>
      <c r="AA269" s="174" t="str">
        <f t="shared" si="40"/>
        <v/>
      </c>
      <c r="AB269" s="174" t="str">
        <f t="shared" si="40"/>
        <v/>
      </c>
      <c r="AC269" s="174" t="str">
        <f t="shared" si="40"/>
        <v/>
      </c>
      <c r="AD269" s="174" t="str">
        <f t="shared" si="40"/>
        <v/>
      </c>
      <c r="AE269" s="174" t="str">
        <f t="shared" si="40"/>
        <v/>
      </c>
      <c r="AF269" s="174" t="str">
        <f t="shared" si="40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41">IF(B237&lt;100,"",B237-330)</f>
        <v/>
      </c>
      <c r="C270" s="174" t="str">
        <f t="shared" si="41"/>
        <v/>
      </c>
      <c r="D270" s="174" t="str">
        <f t="shared" si="41"/>
        <v/>
      </c>
      <c r="E270" s="174" t="str">
        <f t="shared" si="41"/>
        <v/>
      </c>
      <c r="F270" s="174" t="str">
        <f t="shared" si="41"/>
        <v/>
      </c>
      <c r="G270" s="174" t="str">
        <f t="shared" si="41"/>
        <v/>
      </c>
      <c r="H270" s="174" t="str">
        <f t="shared" si="41"/>
        <v/>
      </c>
      <c r="I270" s="174" t="str">
        <f t="shared" si="41"/>
        <v/>
      </c>
      <c r="J270" s="174" t="str">
        <f t="shared" si="41"/>
        <v/>
      </c>
      <c r="K270" s="174" t="str">
        <f t="shared" si="41"/>
        <v/>
      </c>
      <c r="L270" s="174" t="str">
        <f t="shared" si="41"/>
        <v/>
      </c>
      <c r="M270" s="174" t="str">
        <f t="shared" si="41"/>
        <v/>
      </c>
      <c r="N270" s="174" t="str">
        <f t="shared" si="41"/>
        <v/>
      </c>
      <c r="O270" s="174" t="str">
        <f t="shared" si="41"/>
        <v/>
      </c>
      <c r="P270" s="174" t="str">
        <f t="shared" si="41"/>
        <v/>
      </c>
      <c r="Q270" s="174" t="str">
        <f t="shared" si="41"/>
        <v/>
      </c>
      <c r="R270" s="174" t="str">
        <f t="shared" si="41"/>
        <v/>
      </c>
      <c r="S270" s="174" t="str">
        <f t="shared" si="41"/>
        <v/>
      </c>
      <c r="T270" s="174" t="str">
        <f t="shared" si="41"/>
        <v/>
      </c>
      <c r="U270" s="174" t="str">
        <f t="shared" si="41"/>
        <v/>
      </c>
      <c r="V270" s="174" t="str">
        <f t="shared" si="41"/>
        <v/>
      </c>
      <c r="W270" s="174" t="str">
        <f t="shared" si="41"/>
        <v/>
      </c>
      <c r="X270" s="174" t="str">
        <f t="shared" si="41"/>
        <v/>
      </c>
      <c r="Y270" s="174" t="str">
        <f t="shared" si="41"/>
        <v/>
      </c>
      <c r="Z270" s="174" t="str">
        <f t="shared" si="41"/>
        <v/>
      </c>
      <c r="AA270" s="174" t="str">
        <f t="shared" si="41"/>
        <v/>
      </c>
      <c r="AB270" s="174" t="str">
        <f t="shared" si="41"/>
        <v/>
      </c>
      <c r="AC270" s="174" t="str">
        <f t="shared" si="41"/>
        <v/>
      </c>
      <c r="AD270" s="174" t="str">
        <f t="shared" si="41"/>
        <v/>
      </c>
      <c r="AE270" s="174" t="str">
        <f t="shared" si="41"/>
        <v/>
      </c>
      <c r="AF270" s="174" t="str">
        <f t="shared" si="41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42">IF(B238&lt;100,"",B238-1500)</f>
        <v/>
      </c>
      <c r="C271" s="174" t="str">
        <f t="shared" si="42"/>
        <v/>
      </c>
      <c r="D271" s="174" t="str">
        <f t="shared" si="42"/>
        <v/>
      </c>
      <c r="E271" s="174" t="str">
        <f t="shared" si="42"/>
        <v/>
      </c>
      <c r="F271" s="174" t="str">
        <f t="shared" si="42"/>
        <v/>
      </c>
      <c r="G271" s="174" t="str">
        <f t="shared" si="42"/>
        <v/>
      </c>
      <c r="H271" s="174" t="str">
        <f t="shared" si="42"/>
        <v/>
      </c>
      <c r="I271" s="174" t="str">
        <f t="shared" si="42"/>
        <v/>
      </c>
      <c r="J271" s="174" t="str">
        <f t="shared" si="42"/>
        <v/>
      </c>
      <c r="K271" s="174" t="str">
        <f t="shared" si="42"/>
        <v/>
      </c>
      <c r="L271" s="174" t="str">
        <f t="shared" si="42"/>
        <v/>
      </c>
      <c r="M271" s="174" t="str">
        <f t="shared" si="42"/>
        <v/>
      </c>
      <c r="N271" s="174" t="str">
        <f t="shared" si="42"/>
        <v/>
      </c>
      <c r="O271" s="174" t="str">
        <f t="shared" si="42"/>
        <v/>
      </c>
      <c r="P271" s="174" t="str">
        <f t="shared" si="42"/>
        <v/>
      </c>
      <c r="Q271" s="174" t="str">
        <f t="shared" si="42"/>
        <v/>
      </c>
      <c r="R271" s="174" t="str">
        <f t="shared" si="42"/>
        <v/>
      </c>
      <c r="S271" s="174" t="str">
        <f t="shared" si="42"/>
        <v/>
      </c>
      <c r="T271" s="174" t="str">
        <f t="shared" si="42"/>
        <v/>
      </c>
      <c r="U271" s="174" t="str">
        <f t="shared" si="42"/>
        <v/>
      </c>
      <c r="V271" s="174" t="str">
        <f t="shared" si="42"/>
        <v/>
      </c>
      <c r="W271" s="174" t="str">
        <f t="shared" si="42"/>
        <v/>
      </c>
      <c r="X271" s="174" t="str">
        <f t="shared" si="42"/>
        <v/>
      </c>
      <c r="Y271" s="174" t="str">
        <f t="shared" si="42"/>
        <v/>
      </c>
      <c r="Z271" s="174" t="str">
        <f t="shared" si="42"/>
        <v/>
      </c>
      <c r="AA271" s="174" t="str">
        <f t="shared" si="42"/>
        <v/>
      </c>
      <c r="AB271" s="174" t="str">
        <f t="shared" si="42"/>
        <v/>
      </c>
      <c r="AC271" s="174" t="str">
        <f t="shared" si="42"/>
        <v/>
      </c>
      <c r="AD271" s="174" t="str">
        <f t="shared" si="42"/>
        <v/>
      </c>
      <c r="AE271" s="174" t="str">
        <f t="shared" si="42"/>
        <v/>
      </c>
      <c r="AF271" s="174" t="str">
        <f t="shared" si="42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4 Y17:AF32 Y34:AF42 Y45:AF45 AB15:AF15">
    <cfRule type="expression" dxfId="6658" priority="449">
      <formula>B$9&gt;=20/24</formula>
    </cfRule>
    <cfRule type="expression" dxfId="6657" priority="450">
      <formula>AND(B$9&gt;=14/24,B$9&lt;20/24)</formula>
    </cfRule>
    <cfRule type="expression" dxfId="6656" priority="451">
      <formula>AND(B$9&gt;=8/24,B$9&lt;14/24)</formula>
    </cfRule>
    <cfRule type="expression" dxfId="6655" priority="452">
      <formula>B$9&lt;8/24</formula>
    </cfRule>
  </conditionalFormatting>
  <conditionalFormatting sqref="AL4:AL6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AG65 Y12:AF14 Y17:AF32 Y34:AF42 Y45:AF45 AB15:AF15">
    <cfRule type="expression" dxfId="6654" priority="447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6653" priority="446">
      <formula>$AH12=0</formula>
    </cfRule>
  </conditionalFormatting>
  <conditionalFormatting sqref="A114">
    <cfRule type="expression" dxfId="6652" priority="445">
      <formula>$AH114=0</formula>
    </cfRule>
  </conditionalFormatting>
  <conditionalFormatting sqref="AL42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651" priority="443">
      <formula>$AH45=0</formula>
    </cfRule>
  </conditionalFormatting>
  <conditionalFormatting sqref="A98">
    <cfRule type="expression" dxfId="6650" priority="442">
      <formula>$AH98=0</formula>
    </cfRule>
  </conditionalFormatting>
  <conditionalFormatting sqref="A18">
    <cfRule type="expression" dxfId="6649" priority="441">
      <formula>$AH18=0</formula>
    </cfRule>
  </conditionalFormatting>
  <conditionalFormatting sqref="A196:A201">
    <cfRule type="expression" dxfId="6648" priority="440">
      <formula>$AH196=0</formula>
    </cfRule>
  </conditionalFormatting>
  <conditionalFormatting sqref="A190:A195">
    <cfRule type="expression" dxfId="6647" priority="439">
      <formula>$AH190=0</formula>
    </cfRule>
  </conditionalFormatting>
  <conditionalFormatting sqref="A58">
    <cfRule type="expression" dxfId="6646" priority="438">
      <formula>$AH58=0</formula>
    </cfRule>
  </conditionalFormatting>
  <conditionalFormatting sqref="A94">
    <cfRule type="expression" dxfId="6645" priority="437">
      <formula>$AH94=0</formula>
    </cfRule>
  </conditionalFormatting>
  <conditionalFormatting sqref="E99:X99 AD99:AF99">
    <cfRule type="expression" dxfId="6644" priority="433">
      <formula>E$9&gt;=20/24</formula>
    </cfRule>
    <cfRule type="expression" dxfId="6643" priority="434">
      <formula>AND(E$9&gt;=14/24,E$9&lt;20/24)</formula>
    </cfRule>
    <cfRule type="expression" dxfId="6642" priority="435">
      <formula>AND(E$9&gt;=8/24,E$9&lt;14/24)</formula>
    </cfRule>
    <cfRule type="expression" dxfId="6641" priority="436">
      <formula>E$9&lt;8/24</formula>
    </cfRule>
  </conditionalFormatting>
  <conditionalFormatting sqref="AL43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640" priority="455">
      <formula>C$9&gt;=20/24</formula>
    </cfRule>
    <cfRule type="expression" dxfId="6639" priority="456">
      <formula>AND(C$9&gt;=14/24,C$9&lt;20/24)</formula>
    </cfRule>
    <cfRule type="expression" dxfId="6638" priority="457">
      <formula>AND(C$9&gt;=8/24,C$9&lt;14/24)</formula>
    </cfRule>
    <cfRule type="expression" dxfId="6637" priority="458">
      <formula>C$9&lt;8/24</formula>
    </cfRule>
  </conditionalFormatting>
  <conditionalFormatting sqref="A233">
    <cfRule type="expression" dxfId="6636" priority="459">
      <formula>$AH233=0</formula>
    </cfRule>
  </conditionalFormatting>
  <conditionalFormatting sqref="AG245">
    <cfRule type="expression" dxfId="6635" priority="460">
      <formula>B$9&gt;=20/24</formula>
    </cfRule>
    <cfRule type="expression" dxfId="6634" priority="461">
      <formula>AND(B$9&gt;=14/24,B$9&lt;20/24)</formula>
    </cfRule>
    <cfRule type="expression" dxfId="6633" priority="462">
      <formula>AND(B$9&gt;=8/24,B$9&lt;14/24)</formula>
    </cfRule>
    <cfRule type="expression" dxfId="6632" priority="463">
      <formula>B$9&lt;8/24</formula>
    </cfRule>
  </conditionalFormatting>
  <conditionalFormatting sqref="S8">
    <cfRule type="expression" dxfId="6631" priority="428">
      <formula>U$9&gt;=20/24</formula>
    </cfRule>
    <cfRule type="expression" dxfId="6630" priority="429">
      <formula>AND(U$9&gt;=14/24,U$9&lt;20/24)</formula>
    </cfRule>
    <cfRule type="expression" dxfId="6629" priority="430">
      <formula>AND(U$9&gt;=8/24,U$9&lt;14/24)</formula>
    </cfRule>
    <cfRule type="expression" dxfId="6628" priority="431">
      <formula>U$9&lt;8/24</formula>
    </cfRule>
  </conditionalFormatting>
  <conditionalFormatting sqref="AB8">
    <cfRule type="expression" dxfId="6627" priority="424">
      <formula>AD$9&gt;=20/24</formula>
    </cfRule>
    <cfRule type="expression" dxfId="6626" priority="425">
      <formula>AND(AD$9&gt;=14/24,AD$9&lt;20/24)</formula>
    </cfRule>
    <cfRule type="expression" dxfId="6625" priority="426">
      <formula>AND(AD$9&gt;=8/24,AD$9&lt;14/24)</formula>
    </cfRule>
    <cfRule type="expression" dxfId="6624" priority="427">
      <formula>AD$9&lt;8/24</formula>
    </cfRule>
  </conditionalFormatting>
  <conditionalFormatting sqref="AH245:AX245">
    <cfRule type="expression" dxfId="6623" priority="464">
      <formula>AG$9&gt;=20/24</formula>
    </cfRule>
    <cfRule type="expression" dxfId="6622" priority="465">
      <formula>AND(AG$9&gt;=14/24,AG$9&lt;20/24)</formula>
    </cfRule>
    <cfRule type="expression" dxfId="6621" priority="466">
      <formula>AND(AG$9&gt;=8/24,AG$9&lt;14/24)</formula>
    </cfRule>
    <cfRule type="expression" dxfId="6620" priority="467">
      <formula>AG$9&lt;8/24</formula>
    </cfRule>
  </conditionalFormatting>
  <conditionalFormatting sqref="T245">
    <cfRule type="expression" dxfId="6619" priority="468">
      <formula>AX$9&gt;=20/24</formula>
    </cfRule>
    <cfRule type="expression" dxfId="6618" priority="469">
      <formula>AND(AX$9&gt;=14/24,AX$9&lt;20/24)</formula>
    </cfRule>
    <cfRule type="expression" dxfId="6617" priority="470">
      <formula>AND(AX$9&gt;=8/24,AX$9&lt;14/24)</formula>
    </cfRule>
    <cfRule type="expression" dxfId="6616" priority="471">
      <formula>AX$9&lt;8/24</formula>
    </cfRule>
  </conditionalFormatting>
  <conditionalFormatting sqref="A115:A116">
    <cfRule type="expression" dxfId="6615" priority="423">
      <formula>$AH115=0</formula>
    </cfRule>
  </conditionalFormatting>
  <conditionalFormatting sqref="M54:Q58 E71:R71 R58 Y56:AD57 AE54:AF57 Y71:AF71">
    <cfRule type="expression" dxfId="6614" priority="419">
      <formula>E$9&gt;=20/24</formula>
    </cfRule>
    <cfRule type="expression" dxfId="6613" priority="420">
      <formula>AND(E$9&gt;=14/24,E$9&lt;20/24)</formula>
    </cfRule>
    <cfRule type="expression" dxfId="6612" priority="421">
      <formula>AND(E$9&gt;=8/24,E$9&lt;14/24)</formula>
    </cfRule>
    <cfRule type="expression" dxfId="6611" priority="422">
      <formula>E$9&lt;8/24</formula>
    </cfRule>
  </conditionalFormatting>
  <conditionalFormatting sqref="M53:Q53 AE53:AF53">
    <cfRule type="expression" dxfId="6610" priority="415">
      <formula>M$9&gt;=20/24</formula>
    </cfRule>
    <cfRule type="expression" dxfId="6609" priority="416">
      <formula>AND(M$9&gt;=14/24,M$9&lt;20/24)</formula>
    </cfRule>
    <cfRule type="expression" dxfId="6608" priority="417">
      <formula>AND(M$9&gt;=8/24,M$9&lt;14/24)</formula>
    </cfRule>
    <cfRule type="expression" dxfId="6607" priority="418">
      <formula>M$9&lt;8/24</formula>
    </cfRule>
  </conditionalFormatting>
  <conditionalFormatting sqref="M53:Q58 R58 Y56:AD57 AE53:AF57">
    <cfRule type="expression" dxfId="6606" priority="414">
      <formula>M53&gt;$AG53</formula>
    </cfRule>
  </conditionalFormatting>
  <conditionalFormatting sqref="M100:X106 AD100:AF106 E72:R73 X96:AF96 D86:AF86 X47:AF47 X67:AF69 Y72:AF74">
    <cfRule type="expression" dxfId="6605" priority="410">
      <formula>D$9&gt;=20/24</formula>
    </cfRule>
    <cfRule type="expression" dxfId="6604" priority="411">
      <formula>AND(D$9&gt;=14/24,D$9&lt;20/24)</formula>
    </cfRule>
    <cfRule type="expression" dxfId="6603" priority="412">
      <formula>AND(D$9&gt;=8/24,D$9&lt;14/24)</formula>
    </cfRule>
    <cfRule type="expression" dxfId="6602" priority="413">
      <formula>D$9&lt;8/24</formula>
    </cfRule>
  </conditionalFormatting>
  <conditionalFormatting sqref="X47:AF47 X67:AF69">
    <cfRule type="expression" dxfId="6601" priority="409">
      <formula>X47&gt;$AG47</formula>
    </cfRule>
  </conditionalFormatting>
  <conditionalFormatting sqref="R53:R57 Y53:AD55">
    <cfRule type="expression" dxfId="6600" priority="405">
      <formula>R$9&gt;=20/24</formula>
    </cfRule>
    <cfRule type="expression" dxfId="6599" priority="406">
      <formula>AND(R$9&gt;=14/24,R$9&lt;20/24)</formula>
    </cfRule>
    <cfRule type="expression" dxfId="6598" priority="407">
      <formula>AND(R$9&gt;=8/24,R$9&lt;14/24)</formula>
    </cfRule>
    <cfRule type="expression" dxfId="6597" priority="408">
      <formula>R$9&lt;8/24</formula>
    </cfRule>
  </conditionalFormatting>
  <conditionalFormatting sqref="R53:R57 Y53:AD55">
    <cfRule type="expression" dxfId="6596" priority="404">
      <formula>R53&gt;$AG53</formula>
    </cfRule>
  </conditionalFormatting>
  <conditionalFormatting sqref="C97:AF97 D88:AF88">
    <cfRule type="expression" dxfId="6595" priority="400">
      <formula>C$9&gt;=20/24</formula>
    </cfRule>
    <cfRule type="expression" dxfId="6594" priority="401">
      <formula>AND(C$9&gt;=14/24,C$9&lt;20/24)</formula>
    </cfRule>
    <cfRule type="expression" dxfId="6593" priority="402">
      <formula>AND(C$9&gt;=8/24,C$9&lt;14/24)</formula>
    </cfRule>
    <cfRule type="expression" dxfId="6592" priority="403">
      <formula>C$9&lt;8/24</formula>
    </cfRule>
  </conditionalFormatting>
  <conditionalFormatting sqref="T47:W47">
    <cfRule type="expression" dxfId="6591" priority="396">
      <formula>T$9&gt;=20/24</formula>
    </cfRule>
    <cfRule type="expression" dxfId="6590" priority="397">
      <formula>AND(T$9&gt;=14/24,T$9&lt;20/24)</formula>
    </cfRule>
    <cfRule type="expression" dxfId="6589" priority="398">
      <formula>AND(T$9&gt;=8/24,T$9&lt;14/24)</formula>
    </cfRule>
    <cfRule type="expression" dxfId="6588" priority="399">
      <formula>T$9&lt;8/24</formula>
    </cfRule>
  </conditionalFormatting>
  <conditionalFormatting sqref="T47:W47">
    <cfRule type="expression" dxfId="6587" priority="395">
      <formula>T47&gt;$AG47</formula>
    </cfRule>
  </conditionalFormatting>
  <conditionalFormatting sqref="E54:L55 Y46:AF46">
    <cfRule type="expression" dxfId="6586" priority="391">
      <formula>E$9&gt;=20/24</formula>
    </cfRule>
    <cfRule type="expression" dxfId="6585" priority="392">
      <formula>AND(E$9&gt;=14/24,E$9&lt;20/24)</formula>
    </cfRule>
    <cfRule type="expression" dxfId="6584" priority="393">
      <formula>AND(E$9&gt;=8/24,E$9&lt;14/24)</formula>
    </cfRule>
    <cfRule type="expression" dxfId="6583" priority="394">
      <formula>E$9&lt;8/24</formula>
    </cfRule>
  </conditionalFormatting>
  <conditionalFormatting sqref="E53:L53">
    <cfRule type="expression" dxfId="6582" priority="387">
      <formula>E$9&gt;=20/24</formula>
    </cfRule>
    <cfRule type="expression" dxfId="6581" priority="388">
      <formula>AND(E$9&gt;=14/24,E$9&lt;20/24)</formula>
    </cfRule>
    <cfRule type="expression" dxfId="6580" priority="389">
      <formula>AND(E$9&gt;=8/24,E$9&lt;14/24)</formula>
    </cfRule>
    <cfRule type="expression" dxfId="6579" priority="390">
      <formula>E$9&lt;8/24</formula>
    </cfRule>
  </conditionalFormatting>
  <conditionalFormatting sqref="E53:L55 Y46:AF46">
    <cfRule type="expression" dxfId="6578" priority="386">
      <formula>E46&gt;$AG46</formula>
    </cfRule>
  </conditionalFormatting>
  <conditionalFormatting sqref="AG70 AG87 E100:L106 Q67:W69">
    <cfRule type="expression" dxfId="6577" priority="382">
      <formula>E$9&gt;=20/24</formula>
    </cfRule>
    <cfRule type="expression" dxfId="6576" priority="383">
      <formula>AND(E$9&gt;=14/24,E$9&lt;20/24)</formula>
    </cfRule>
    <cfRule type="expression" dxfId="6575" priority="384">
      <formula>AND(E$9&gt;=8/24,E$9&lt;14/24)</formula>
    </cfRule>
    <cfRule type="expression" dxfId="6574" priority="385">
      <formula>E$9&lt;8/24</formula>
    </cfRule>
  </conditionalFormatting>
  <conditionalFormatting sqref="AG48 AG66 AG70 Q67:W69">
    <cfRule type="expression" dxfId="6573" priority="381">
      <formula>Q48&gt;$AG48</formula>
    </cfRule>
  </conditionalFormatting>
  <conditionalFormatting sqref="Y58:AF58">
    <cfRule type="expression" dxfId="6572" priority="377">
      <formula>Y$9&gt;=20/24</formula>
    </cfRule>
    <cfRule type="expression" dxfId="6571" priority="378">
      <formula>AND(Y$9&gt;=14/24,Y$9&lt;20/24)</formula>
    </cfRule>
    <cfRule type="expression" dxfId="6570" priority="379">
      <formula>AND(Y$9&gt;=8/24,Y$9&lt;14/24)</formula>
    </cfRule>
    <cfRule type="expression" dxfId="6569" priority="380">
      <formula>Y$9&lt;8/24</formula>
    </cfRule>
  </conditionalFormatting>
  <conditionalFormatting sqref="Y58:AF58">
    <cfRule type="expression" dxfId="6568" priority="376">
      <formula>Y58&gt;$AG58</formula>
    </cfRule>
  </conditionalFormatting>
  <conditionalFormatting sqref="A43">
    <cfRule type="expression" dxfId="6567" priority="375">
      <formula>$AH43=0</formula>
    </cfRule>
  </conditionalFormatting>
  <conditionalFormatting sqref="X91:AF95">
    <cfRule type="expression" dxfId="6566" priority="371">
      <formula>X$9&gt;=20/24</formula>
    </cfRule>
    <cfRule type="expression" dxfId="6565" priority="372">
      <formula>AND(X$9&gt;=14/24,X$9&lt;20/24)</formula>
    </cfRule>
    <cfRule type="expression" dxfId="6564" priority="373">
      <formula>AND(X$9&gt;=8/24,X$9&lt;14/24)</formula>
    </cfRule>
    <cfRule type="expression" dxfId="6563" priority="374">
      <formula>X$9&lt;8/24</formula>
    </cfRule>
  </conditionalFormatting>
  <conditionalFormatting sqref="AL45 AL41 AL22:AL32 AL38:AL39 AL7:AL15 AL17:AL20 AL34:AL36">
    <cfRule type="iconSet" priority="472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6562" priority="367">
      <formula>F$9&gt;=20/24</formula>
    </cfRule>
    <cfRule type="expression" dxfId="6561" priority="368">
      <formula>AND(F$9&gt;=14/24,F$9&lt;20/24)</formula>
    </cfRule>
    <cfRule type="expression" dxfId="6560" priority="369">
      <formula>AND(F$9&gt;=8/24,F$9&lt;14/24)</formula>
    </cfRule>
    <cfRule type="expression" dxfId="6559" priority="370">
      <formula>F$9&lt;8/24</formula>
    </cfRule>
  </conditionalFormatting>
  <conditionalFormatting sqref="F49:AF51">
    <cfRule type="expression" dxfId="6558" priority="366">
      <formula>F49&gt;$AG49</formula>
    </cfRule>
  </conditionalFormatting>
  <conditionalFormatting sqref="AG52">
    <cfRule type="expression" dxfId="6557" priority="362">
      <formula>AG$9&gt;=20/24</formula>
    </cfRule>
    <cfRule type="expression" dxfId="6556" priority="363">
      <formula>AND(AG$9&gt;=14/24,AG$9&lt;20/24)</formula>
    </cfRule>
    <cfRule type="expression" dxfId="6555" priority="364">
      <formula>AND(AG$9&gt;=8/24,AG$9&lt;14/24)</formula>
    </cfRule>
    <cfRule type="expression" dxfId="6554" priority="365">
      <formula>AG$9&lt;8/24</formula>
    </cfRule>
  </conditionalFormatting>
  <conditionalFormatting sqref="AG52">
    <cfRule type="expression" dxfId="6553" priority="361">
      <formula>AG52&gt;$AG52</formula>
    </cfRule>
  </conditionalFormatting>
  <conditionalFormatting sqref="C107:AF107">
    <cfRule type="expression" dxfId="6552" priority="357">
      <formula>C$9&gt;=20/24</formula>
    </cfRule>
    <cfRule type="expression" dxfId="6551" priority="358">
      <formula>AND(C$9&gt;=14/24,C$9&lt;20/24)</formula>
    </cfRule>
    <cfRule type="expression" dxfId="6550" priority="359">
      <formula>AND(C$9&gt;=8/24,C$9&lt;14/24)</formula>
    </cfRule>
    <cfRule type="expression" dxfId="6549" priority="360">
      <formula>C$9&lt;8/24</formula>
    </cfRule>
  </conditionalFormatting>
  <conditionalFormatting sqref="AL40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548" priority="355">
      <formula>$AH40=0</formula>
    </cfRule>
  </conditionalFormatting>
  <conditionalFormatting sqref="A90">
    <cfRule type="expression" dxfId="6547" priority="353">
      <formula>$AH90=0</formula>
    </cfRule>
  </conditionalFormatting>
  <conditionalFormatting sqref="A87">
    <cfRule type="expression" dxfId="6546" priority="354">
      <formula>$AH87=0</formula>
    </cfRule>
  </conditionalFormatting>
  <conditionalFormatting sqref="D110:AF110">
    <cfRule type="expression" dxfId="6545" priority="349">
      <formula>D$9&gt;=20/24</formula>
    </cfRule>
    <cfRule type="expression" dxfId="6544" priority="350">
      <formula>AND(D$9&gt;=14/24,D$9&lt;20/24)</formula>
    </cfRule>
    <cfRule type="expression" dxfId="6543" priority="351">
      <formula>AND(D$9&gt;=8/24,D$9&lt;14/24)</formula>
    </cfRule>
    <cfRule type="expression" dxfId="6542" priority="352">
      <formula>D$9&lt;8/24</formula>
    </cfRule>
  </conditionalFormatting>
  <conditionalFormatting sqref="A110">
    <cfRule type="expression" dxfId="6541" priority="348">
      <formula>$AH110=0</formula>
    </cfRule>
  </conditionalFormatting>
  <conditionalFormatting sqref="A21">
    <cfRule type="expression" dxfId="6540" priority="346">
      <formula>$AH21=0</formula>
    </cfRule>
  </conditionalFormatting>
  <conditionalFormatting sqref="AL21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539" priority="344">
      <formula>$AH37=0</formula>
    </cfRule>
  </conditionalFormatting>
  <conditionalFormatting sqref="AL37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538" priority="340">
      <formula>Y$9&gt;=20/24</formula>
    </cfRule>
    <cfRule type="expression" dxfId="6537" priority="341">
      <formula>AND(Y$9&gt;=14/24,Y$9&lt;20/24)</formula>
    </cfRule>
    <cfRule type="expression" dxfId="6536" priority="342">
      <formula>AND(Y$9&gt;=8/24,Y$9&lt;14/24)</formula>
    </cfRule>
    <cfRule type="expression" dxfId="6535" priority="343">
      <formula>Y$9&lt;8/24</formula>
    </cfRule>
  </conditionalFormatting>
  <conditionalFormatting sqref="Y100:AC106">
    <cfRule type="expression" dxfId="6534" priority="336">
      <formula>Y$9&gt;=20/24</formula>
    </cfRule>
    <cfRule type="expression" dxfId="6533" priority="337">
      <formula>AND(Y$9&gt;=14/24,Y$9&lt;20/24)</formula>
    </cfRule>
    <cfRule type="expression" dxfId="6532" priority="338">
      <formula>AND(Y$9&gt;=8/24,Y$9&lt;14/24)</formula>
    </cfRule>
    <cfRule type="expression" dxfId="6531" priority="339">
      <formula>Y$9&lt;8/24</formula>
    </cfRule>
  </conditionalFormatting>
  <conditionalFormatting sqref="C109 C111:C116">
    <cfRule type="expression" dxfId="6530" priority="332">
      <formula>C$9&gt;=20/24</formula>
    </cfRule>
    <cfRule type="expression" dxfId="6529" priority="333">
      <formula>AND(C$9&gt;=14/24,C$9&lt;20/24)</formula>
    </cfRule>
    <cfRule type="expression" dxfId="6528" priority="334">
      <formula>AND(C$9&gt;=8/24,C$9&lt;14/24)</formula>
    </cfRule>
    <cfRule type="expression" dxfId="6527" priority="335">
      <formula>C$9&lt;8/24</formula>
    </cfRule>
  </conditionalFormatting>
  <conditionalFormatting sqref="C47:S47">
    <cfRule type="expression" dxfId="6526" priority="328">
      <formula>C$9&gt;=20/24</formula>
    </cfRule>
    <cfRule type="expression" dxfId="6525" priority="329">
      <formula>AND(C$9&gt;=14/24,C$9&lt;20/24)</formula>
    </cfRule>
    <cfRule type="expression" dxfId="6524" priority="330">
      <formula>AND(C$9&gt;=8/24,C$9&lt;14/24)</formula>
    </cfRule>
    <cfRule type="expression" dxfId="6523" priority="331">
      <formula>C$9&lt;8/24</formula>
    </cfRule>
  </conditionalFormatting>
  <conditionalFormatting sqref="C47:S47">
    <cfRule type="expression" dxfId="6522" priority="327">
      <formula>C47&gt;$AG47</formula>
    </cfRule>
  </conditionalFormatting>
  <conditionalFormatting sqref="D99">
    <cfRule type="expression" dxfId="6521" priority="323">
      <formula>D$9&gt;=20/24</formula>
    </cfRule>
    <cfRule type="expression" dxfId="6520" priority="324">
      <formula>AND(D$9&gt;=14/24,D$9&lt;20/24)</formula>
    </cfRule>
    <cfRule type="expression" dxfId="6519" priority="325">
      <formula>AND(D$9&gt;=8/24,D$9&lt;14/24)</formula>
    </cfRule>
    <cfRule type="expression" dxfId="6518" priority="326">
      <formula>D$9&lt;8/24</formula>
    </cfRule>
  </conditionalFormatting>
  <conditionalFormatting sqref="D71 D54:D55">
    <cfRule type="expression" dxfId="6517" priority="319">
      <formula>D$9&gt;=20/24</formula>
    </cfRule>
    <cfRule type="expression" dxfId="6516" priority="320">
      <formula>AND(D$9&gt;=14/24,D$9&lt;20/24)</formula>
    </cfRule>
    <cfRule type="expression" dxfId="6515" priority="321">
      <formula>AND(D$9&gt;=8/24,D$9&lt;14/24)</formula>
    </cfRule>
    <cfRule type="expression" dxfId="6514" priority="322">
      <formula>D$9&lt;8/24</formula>
    </cfRule>
  </conditionalFormatting>
  <conditionalFormatting sqref="D53">
    <cfRule type="expression" dxfId="6513" priority="315">
      <formula>D$9&gt;=20/24</formula>
    </cfRule>
    <cfRule type="expression" dxfId="6512" priority="316">
      <formula>AND(D$9&gt;=14/24,D$9&lt;20/24)</formula>
    </cfRule>
    <cfRule type="expression" dxfId="6511" priority="317">
      <formula>AND(D$9&gt;=8/24,D$9&lt;14/24)</formula>
    </cfRule>
    <cfRule type="expression" dxfId="6510" priority="318">
      <formula>D$9&lt;8/24</formula>
    </cfRule>
  </conditionalFormatting>
  <conditionalFormatting sqref="D53:D55">
    <cfRule type="expression" dxfId="6509" priority="314">
      <formula>D53&gt;$AG53</formula>
    </cfRule>
  </conditionalFormatting>
  <conditionalFormatting sqref="C86 C73:D73 D100:D106 D67:P69 C96:W96 D72 D74:R76 C83:AF85 Y75:AF76">
    <cfRule type="expression" dxfId="6508" priority="310">
      <formula>C$9&gt;=20/24</formula>
    </cfRule>
    <cfRule type="expression" dxfId="6507" priority="311">
      <formula>AND(C$9&gt;=14/24,C$9&lt;20/24)</formula>
    </cfRule>
    <cfRule type="expression" dxfId="6506" priority="312">
      <formula>AND(C$9&gt;=8/24,C$9&lt;14/24)</formula>
    </cfRule>
    <cfRule type="expression" dxfId="6505" priority="313">
      <formula>C$9&lt;8/24</formula>
    </cfRule>
  </conditionalFormatting>
  <conditionalFormatting sqref="D67:P69 D56:L57">
    <cfRule type="expression" dxfId="6504" priority="309">
      <formula>D56&gt;$AG56</formula>
    </cfRule>
  </conditionalFormatting>
  <conditionalFormatting sqref="D58:L58 W58:X58">
    <cfRule type="expression" dxfId="6503" priority="305">
      <formula>D$9&gt;=20/24</formula>
    </cfRule>
    <cfRule type="expression" dxfId="6502" priority="306">
      <formula>AND(D$9&gt;=14/24,D$9&lt;20/24)</formula>
    </cfRule>
    <cfRule type="expression" dxfId="6501" priority="307">
      <formula>AND(D$9&gt;=8/24,D$9&lt;14/24)</formula>
    </cfRule>
    <cfRule type="expression" dxfId="6500" priority="308">
      <formula>D$9&lt;8/24</formula>
    </cfRule>
  </conditionalFormatting>
  <conditionalFormatting sqref="D58:L58 W58:X58">
    <cfRule type="expression" dxfId="6499" priority="304">
      <formula>D58&gt;$AG58</formula>
    </cfRule>
  </conditionalFormatting>
  <conditionalFormatting sqref="B71:C71 B54:C57">
    <cfRule type="expression" dxfId="6498" priority="223">
      <formula>B$9&gt;=20/24</formula>
    </cfRule>
    <cfRule type="expression" dxfId="6497" priority="224">
      <formula>AND(B$9&gt;=14/24,B$9&lt;20/24)</formula>
    </cfRule>
    <cfRule type="expression" dxfId="6496" priority="225">
      <formula>AND(B$9&gt;=8/24,B$9&lt;14/24)</formula>
    </cfRule>
    <cfRule type="expression" dxfId="6495" priority="226">
      <formula>B$9&lt;8/24</formula>
    </cfRule>
  </conditionalFormatting>
  <conditionalFormatting sqref="C98:AF98 C89:AF89 C70:AF70 C87:AF87">
    <cfRule type="expression" dxfId="6494" priority="295">
      <formula>C$9&gt;=20/24</formula>
    </cfRule>
    <cfRule type="expression" dxfId="6493" priority="296">
      <formula>AND(C$9&gt;=14/24,C$9&lt;20/24)</formula>
    </cfRule>
    <cfRule type="expression" dxfId="6492" priority="297">
      <formula>AND(C$9&gt;=8/24,C$9&lt;14/24)</formula>
    </cfRule>
    <cfRule type="expression" dxfId="6491" priority="298">
      <formula>C$9&lt;8/24</formula>
    </cfRule>
  </conditionalFormatting>
  <conditionalFormatting sqref="C65:AF66 C70:AF70 C48:AF48">
    <cfRule type="expression" dxfId="6490" priority="294">
      <formula>C48&gt;$AG48</formula>
    </cfRule>
  </conditionalFormatting>
  <conditionalFormatting sqref="C82:AF82">
    <cfRule type="expression" dxfId="6489" priority="290">
      <formula>C$9&gt;=20/24</formula>
    </cfRule>
    <cfRule type="expression" dxfId="6488" priority="291">
      <formula>AND(C$9&gt;=14/24,C$9&lt;20/24)</formula>
    </cfRule>
    <cfRule type="expression" dxfId="6487" priority="292">
      <formula>AND(C$9&gt;=8/24,C$9&lt;14/24)</formula>
    </cfRule>
    <cfRule type="expression" dxfId="6486" priority="293">
      <formula>C$9&lt;8/24</formula>
    </cfRule>
  </conditionalFormatting>
  <conditionalFormatting sqref="C91:W95">
    <cfRule type="expression" dxfId="6485" priority="286">
      <formula>C$9&gt;=20/24</formula>
    </cfRule>
    <cfRule type="expression" dxfId="6484" priority="287">
      <formula>AND(C$9&gt;=14/24,C$9&lt;20/24)</formula>
    </cfRule>
    <cfRule type="expression" dxfId="6483" priority="288">
      <formula>AND(C$9&gt;=8/24,C$9&lt;14/24)</formula>
    </cfRule>
    <cfRule type="expression" dxfId="6482" priority="289">
      <formula>C$9&lt;8/24</formula>
    </cfRule>
  </conditionalFormatting>
  <conditionalFormatting sqref="D49:E51">
    <cfRule type="expression" dxfId="6481" priority="282">
      <formula>D$9&gt;=20/24</formula>
    </cfRule>
    <cfRule type="expression" dxfId="6480" priority="283">
      <formula>AND(D$9&gt;=14/24,D$9&lt;20/24)</formula>
    </cfRule>
    <cfRule type="expression" dxfId="6479" priority="284">
      <formula>AND(D$9&gt;=8/24,D$9&lt;14/24)</formula>
    </cfRule>
    <cfRule type="expression" dxfId="6478" priority="285">
      <formula>D$9&lt;8/24</formula>
    </cfRule>
  </conditionalFormatting>
  <conditionalFormatting sqref="D49:E51">
    <cfRule type="expression" dxfId="6477" priority="281">
      <formula>D49&gt;$AG49</formula>
    </cfRule>
  </conditionalFormatting>
  <conditionalFormatting sqref="C52:AF52">
    <cfRule type="expression" dxfId="6476" priority="277">
      <formula>C$9&gt;=20/24</formula>
    </cfRule>
    <cfRule type="expression" dxfId="6475" priority="278">
      <formula>AND(C$9&gt;=14/24,C$9&lt;20/24)</formula>
    </cfRule>
    <cfRule type="expression" dxfId="6474" priority="279">
      <formula>AND(C$9&gt;=8/24,C$9&lt;14/24)</formula>
    </cfRule>
    <cfRule type="expression" dxfId="6473" priority="280">
      <formula>C$9&lt;8/24</formula>
    </cfRule>
  </conditionalFormatting>
  <conditionalFormatting sqref="C52:AF52">
    <cfRule type="expression" dxfId="6472" priority="276">
      <formula>C52&gt;$AG52</formula>
    </cfRule>
  </conditionalFormatting>
  <conditionalFormatting sqref="B49:C51">
    <cfRule type="expression" dxfId="6471" priority="191">
      <formula>B$9&gt;=20/24</formula>
    </cfRule>
    <cfRule type="expression" dxfId="6470" priority="192">
      <formula>AND(B$9&gt;=14/24,B$9&lt;20/24)</formula>
    </cfRule>
    <cfRule type="expression" dxfId="6469" priority="193">
      <formula>AND(B$9&gt;=8/24,B$9&lt;14/24)</formula>
    </cfRule>
    <cfRule type="expression" dxfId="6468" priority="194">
      <formula>B$9&lt;8/24</formula>
    </cfRule>
  </conditionalFormatting>
  <conditionalFormatting sqref="C110">
    <cfRule type="expression" dxfId="6467" priority="268">
      <formula>C$9&gt;=20/24</formula>
    </cfRule>
    <cfRule type="expression" dxfId="6466" priority="269">
      <formula>AND(C$9&gt;=14/24,C$9&lt;20/24)</formula>
    </cfRule>
    <cfRule type="expression" dxfId="6465" priority="270">
      <formula>AND(C$9&gt;=8/24,C$9&lt;14/24)</formula>
    </cfRule>
    <cfRule type="expression" dxfId="6464" priority="271">
      <formula>C$9&lt;8/24</formula>
    </cfRule>
  </conditionalFormatting>
  <conditionalFormatting sqref="D59:R64 Y59:AF64">
    <cfRule type="expression" dxfId="6463" priority="264">
      <formula>D$9&gt;=20/24</formula>
    </cfRule>
    <cfRule type="expression" dxfId="6462" priority="265">
      <formula>AND(D$9&gt;=14/24,D$9&lt;20/24)</formula>
    </cfRule>
    <cfRule type="expression" dxfId="6461" priority="266">
      <formula>AND(D$9&gt;=8/24,D$9&lt;14/24)</formula>
    </cfRule>
    <cfRule type="expression" dxfId="6460" priority="267">
      <formula>D$9&lt;8/24</formula>
    </cfRule>
  </conditionalFormatting>
  <conditionalFormatting sqref="D59:R64 Y59:AF64">
    <cfRule type="expression" dxfId="6459" priority="263">
      <formula>D59&gt;$AG59</formula>
    </cfRule>
  </conditionalFormatting>
  <conditionalFormatting sqref="R13:R15">
    <cfRule type="expression" dxfId="6458" priority="262">
      <formula>R13&gt;$AG13</formula>
    </cfRule>
  </conditionalFormatting>
  <conditionalFormatting sqref="R12">
    <cfRule type="expression" dxfId="6457" priority="258">
      <formula>R$9&gt;=20/24</formula>
    </cfRule>
    <cfRule type="expression" dxfId="6456" priority="259">
      <formula>AND(R$9&gt;=14/24,R$9&lt;20/24)</formula>
    </cfRule>
    <cfRule type="expression" dxfId="6455" priority="260">
      <formula>AND(R$9&gt;=8/24,R$9&lt;14/24)</formula>
    </cfRule>
    <cfRule type="expression" dxfId="6454" priority="261">
      <formula>R$9&lt;8/24</formula>
    </cfRule>
  </conditionalFormatting>
  <conditionalFormatting sqref="R12">
    <cfRule type="expression" dxfId="6453" priority="257">
      <formula>R12&gt;$AG12</formula>
    </cfRule>
  </conditionalFormatting>
  <conditionalFormatting sqref="R13:R15">
    <cfRule type="expression" dxfId="6452" priority="253">
      <formula>R$9&gt;=20/24</formula>
    </cfRule>
    <cfRule type="expression" dxfId="6451" priority="254">
      <formula>AND(R$9&gt;=14/24,R$9&lt;20/24)</formula>
    </cfRule>
    <cfRule type="expression" dxfId="6450" priority="255">
      <formula>AND(R$9&gt;=8/24,R$9&lt;14/24)</formula>
    </cfRule>
    <cfRule type="expression" dxfId="6449" priority="256">
      <formula>R$9&lt;8/24</formula>
    </cfRule>
  </conditionalFormatting>
  <conditionalFormatting sqref="D77:R81 Y77:AF81">
    <cfRule type="expression" dxfId="6448" priority="245">
      <formula>D$9&gt;=20/24</formula>
    </cfRule>
    <cfRule type="expression" dxfId="6447" priority="246">
      <formula>AND(D$9&gt;=14/24,D$9&lt;20/24)</formula>
    </cfRule>
    <cfRule type="expression" dxfId="6446" priority="247">
      <formula>AND(D$9&gt;=8/24,D$9&lt;14/24)</formula>
    </cfRule>
    <cfRule type="expression" dxfId="6445" priority="248">
      <formula>D$9&lt;8/24</formula>
    </cfRule>
  </conditionalFormatting>
  <conditionalFormatting sqref="AL78:AN78 AL84:AN84 AN79:AN80">
    <cfRule type="expression" dxfId="6444" priority="241">
      <formula>AL$9&gt;=20/24</formula>
    </cfRule>
    <cfRule type="expression" dxfId="6443" priority="242">
      <formula>AND(AL$9&gt;=14/24,AL$9&lt;20/24)</formula>
    </cfRule>
    <cfRule type="expression" dxfId="6442" priority="243">
      <formula>AND(AL$9&gt;=8/24,AL$9&lt;14/24)</formula>
    </cfRule>
    <cfRule type="expression" dxfId="6441" priority="244">
      <formula>AL$9&lt;8/24</formula>
    </cfRule>
  </conditionalFormatting>
  <conditionalFormatting sqref="AN81:AN82">
    <cfRule type="expression" dxfId="6440" priority="237">
      <formula>AN$9&gt;=20/24</formula>
    </cfRule>
    <cfRule type="expression" dxfId="6439" priority="238">
      <formula>AND(AN$9&gt;=14/24,AN$9&lt;20/24)</formula>
    </cfRule>
    <cfRule type="expression" dxfId="6438" priority="239">
      <formula>AND(AN$9&gt;=8/24,AN$9&lt;14/24)</formula>
    </cfRule>
    <cfRule type="expression" dxfId="6437" priority="240">
      <formula>AN$9&lt;8/24</formula>
    </cfRule>
  </conditionalFormatting>
  <conditionalFormatting sqref="AL79:AM83">
    <cfRule type="expression" dxfId="6436" priority="473">
      <formula>AJ$9&gt;=20/24</formula>
    </cfRule>
    <cfRule type="expression" dxfId="6435" priority="474">
      <formula>AND(AJ$9&gt;=14/24,AJ$9&lt;20/24)</formula>
    </cfRule>
    <cfRule type="expression" dxfId="6434" priority="475">
      <formula>AND(AJ$9&gt;=8/24,AJ$9&lt;14/24)</formula>
    </cfRule>
    <cfRule type="expression" dxfId="6433" priority="476">
      <formula>AJ$9&lt;8/24</formula>
    </cfRule>
  </conditionalFormatting>
  <conditionalFormatting sqref="A117">
    <cfRule type="expression" dxfId="6432" priority="236">
      <formula>$AH117=0</formula>
    </cfRule>
  </conditionalFormatting>
  <conditionalFormatting sqref="B109 B111:B116 B12:Q15 B17:R32 B34:R43 B45:R45">
    <cfRule type="expression" dxfId="6431" priority="232">
      <formula>B$9&gt;=20/24</formula>
    </cfRule>
    <cfRule type="expression" dxfId="6430" priority="233">
      <formula>AND(B$9&gt;=14/24,B$9&lt;20/24)</formula>
    </cfRule>
    <cfRule type="expression" dxfId="6429" priority="234">
      <formula>AND(B$9&gt;=8/24,B$9&lt;14/24)</formula>
    </cfRule>
    <cfRule type="expression" dxfId="6428" priority="235">
      <formula>B$9&lt;8/24</formula>
    </cfRule>
  </conditionalFormatting>
  <conditionalFormatting sqref="B12:Q15 B17:R32 B34:R43 B45:R45">
    <cfRule type="expression" dxfId="6427" priority="231">
      <formula>B12&gt;$AG12</formula>
    </cfRule>
  </conditionalFormatting>
  <conditionalFormatting sqref="B99:C99">
    <cfRule type="expression" dxfId="6426" priority="227">
      <formula>B$9&gt;=20/24</formula>
    </cfRule>
    <cfRule type="expression" dxfId="6425" priority="228">
      <formula>AND(B$9&gt;=14/24,B$9&lt;20/24)</formula>
    </cfRule>
    <cfRule type="expression" dxfId="6424" priority="229">
      <formula>AND(B$9&gt;=8/24,B$9&lt;14/24)</formula>
    </cfRule>
    <cfRule type="expression" dxfId="6423" priority="230">
      <formula>B$9&lt;8/24</formula>
    </cfRule>
  </conditionalFormatting>
  <conditionalFormatting sqref="B53:C53">
    <cfRule type="expression" dxfId="6422" priority="219">
      <formula>B$9&gt;=20/24</formula>
    </cfRule>
    <cfRule type="expression" dxfId="6421" priority="220">
      <formula>AND(B$9&gt;=14/24,B$9&lt;20/24)</formula>
    </cfRule>
    <cfRule type="expression" dxfId="6420" priority="221">
      <formula>AND(B$9&gt;=8/24,B$9&lt;14/24)</formula>
    </cfRule>
    <cfRule type="expression" dxfId="6419" priority="222">
      <formula>B$9&lt;8/24</formula>
    </cfRule>
  </conditionalFormatting>
  <conditionalFormatting sqref="B53:C57">
    <cfRule type="expression" dxfId="6418" priority="218">
      <formula>B53&gt;$AG53</formula>
    </cfRule>
  </conditionalFormatting>
  <conditionalFormatting sqref="B96 B86 B47 B72:B74 B67:C69 C72 C74 B100:C106">
    <cfRule type="expression" dxfId="6417" priority="214">
      <formula>B$9&gt;=20/24</formula>
    </cfRule>
    <cfRule type="expression" dxfId="6416" priority="215">
      <formula>AND(B$9&gt;=14/24,B$9&lt;20/24)</formula>
    </cfRule>
    <cfRule type="expression" dxfId="6415" priority="216">
      <formula>AND(B$9&gt;=8/24,B$9&lt;14/24)</formula>
    </cfRule>
    <cfRule type="expression" dxfId="6414" priority="217">
      <formula>B$9&lt;8/24</formula>
    </cfRule>
  </conditionalFormatting>
  <conditionalFormatting sqref="B47 B67:C69">
    <cfRule type="expression" dxfId="6413" priority="213">
      <formula>B47&gt;$AG47</formula>
    </cfRule>
  </conditionalFormatting>
  <conditionalFormatting sqref="B97 B88:C88">
    <cfRule type="expression" dxfId="6412" priority="209">
      <formula>B$9&gt;=20/24</formula>
    </cfRule>
    <cfRule type="expression" dxfId="6411" priority="210">
      <formula>AND(B$9&gt;=14/24,B$9&lt;20/24)</formula>
    </cfRule>
    <cfRule type="expression" dxfId="6410" priority="211">
      <formula>AND(B$9&gt;=8/24,B$9&lt;14/24)</formula>
    </cfRule>
    <cfRule type="expression" dxfId="6409" priority="212">
      <formula>B$9&lt;8/24</formula>
    </cfRule>
  </conditionalFormatting>
  <conditionalFormatting sqref="B46:R46">
    <cfRule type="expression" dxfId="6408" priority="205">
      <formula>B$9&gt;=20/24</formula>
    </cfRule>
    <cfRule type="expression" dxfId="6407" priority="206">
      <formula>AND(B$9&gt;=14/24,B$9&lt;20/24)</formula>
    </cfRule>
    <cfRule type="expression" dxfId="6406" priority="207">
      <formula>AND(B$9&gt;=8/24,B$9&lt;14/24)</formula>
    </cfRule>
    <cfRule type="expression" dxfId="6405" priority="208">
      <formula>B$9&lt;8/24</formula>
    </cfRule>
  </conditionalFormatting>
  <conditionalFormatting sqref="B46:R46">
    <cfRule type="expression" dxfId="6404" priority="204">
      <formula>B46&gt;$AG46</formula>
    </cfRule>
  </conditionalFormatting>
  <conditionalFormatting sqref="B58:C58">
    <cfRule type="expression" dxfId="6403" priority="200">
      <formula>B$9&gt;=20/24</formula>
    </cfRule>
    <cfRule type="expression" dxfId="6402" priority="201">
      <formula>AND(B$9&gt;=14/24,B$9&lt;20/24)</formula>
    </cfRule>
    <cfRule type="expression" dxfId="6401" priority="202">
      <formula>AND(B$9&gt;=8/24,B$9&lt;14/24)</formula>
    </cfRule>
    <cfRule type="expression" dxfId="6400" priority="203">
      <formula>B$9&lt;8/24</formula>
    </cfRule>
  </conditionalFormatting>
  <conditionalFormatting sqref="B58:C58">
    <cfRule type="expression" dxfId="6399" priority="199">
      <formula>B58&gt;$AG58</formula>
    </cfRule>
  </conditionalFormatting>
  <conditionalFormatting sqref="B91:B95">
    <cfRule type="expression" dxfId="6398" priority="195">
      <formula>B$9&gt;=20/24</formula>
    </cfRule>
    <cfRule type="expression" dxfId="6397" priority="196">
      <formula>AND(B$9&gt;=14/24,B$9&lt;20/24)</formula>
    </cfRule>
    <cfRule type="expression" dxfId="6396" priority="197">
      <formula>AND(B$9&gt;=8/24,B$9&lt;14/24)</formula>
    </cfRule>
    <cfRule type="expression" dxfId="6395" priority="198">
      <formula>B$9&lt;8/24</formula>
    </cfRule>
  </conditionalFormatting>
  <conditionalFormatting sqref="B49:C51">
    <cfRule type="expression" dxfId="6394" priority="190">
      <formula>B49&gt;$AG49</formula>
    </cfRule>
  </conditionalFormatting>
  <conditionalFormatting sqref="B107">
    <cfRule type="expression" dxfId="6393" priority="186">
      <formula>B$9&gt;=20/24</formula>
    </cfRule>
    <cfRule type="expression" dxfId="6392" priority="187">
      <formula>AND(B$9&gt;=14/24,B$9&lt;20/24)</formula>
    </cfRule>
    <cfRule type="expression" dxfId="6391" priority="188">
      <formula>AND(B$9&gt;=8/24,B$9&lt;14/24)</formula>
    </cfRule>
    <cfRule type="expression" dxfId="6390" priority="189">
      <formula>B$9&lt;8/24</formula>
    </cfRule>
  </conditionalFormatting>
  <conditionalFormatting sqref="B110">
    <cfRule type="expression" dxfId="6389" priority="182">
      <formula>B$9&gt;=20/24</formula>
    </cfRule>
    <cfRule type="expression" dxfId="6388" priority="183">
      <formula>AND(B$9&gt;=14/24,B$9&lt;20/24)</formula>
    </cfRule>
    <cfRule type="expression" dxfId="6387" priority="184">
      <formula>AND(B$9&gt;=8/24,B$9&lt;14/24)</formula>
    </cfRule>
    <cfRule type="expression" dxfId="6386" priority="185">
      <formula>B$9&lt;8/24</formula>
    </cfRule>
  </conditionalFormatting>
  <conditionalFormatting sqref="B83:B85 B75:C76">
    <cfRule type="expression" dxfId="6385" priority="178">
      <formula>B$9&gt;=20/24</formula>
    </cfRule>
    <cfRule type="expression" dxfId="6384" priority="179">
      <formula>AND(B$9&gt;=14/24,B$9&lt;20/24)</formula>
    </cfRule>
    <cfRule type="expression" dxfId="6383" priority="180">
      <formula>AND(B$9&gt;=8/24,B$9&lt;14/24)</formula>
    </cfRule>
    <cfRule type="expression" dxfId="6382" priority="181">
      <formula>B$9&lt;8/24</formula>
    </cfRule>
  </conditionalFormatting>
  <conditionalFormatting sqref="B89 B98 B70 B87">
    <cfRule type="expression" dxfId="6381" priority="174">
      <formula>B$9&gt;=20/24</formula>
    </cfRule>
    <cfRule type="expression" dxfId="6380" priority="175">
      <formula>AND(B$9&gt;=14/24,B$9&lt;20/24)</formula>
    </cfRule>
    <cfRule type="expression" dxfId="6379" priority="176">
      <formula>AND(B$9&gt;=8/24,B$9&lt;14/24)</formula>
    </cfRule>
    <cfRule type="expression" dxfId="6378" priority="177">
      <formula>B$9&lt;8/24</formula>
    </cfRule>
  </conditionalFormatting>
  <conditionalFormatting sqref="B48 B65:B66 B70">
    <cfRule type="expression" dxfId="6377" priority="173">
      <formula>B48&gt;$AG48</formula>
    </cfRule>
  </conditionalFormatting>
  <conditionalFormatting sqref="B82">
    <cfRule type="expression" dxfId="6376" priority="169">
      <formula>B$9&gt;=20/24</formula>
    </cfRule>
    <cfRule type="expression" dxfId="6375" priority="170">
      <formula>AND(B$9&gt;=14/24,B$9&lt;20/24)</formula>
    </cfRule>
    <cfRule type="expression" dxfId="6374" priority="171">
      <formula>AND(B$9&gt;=8/24,B$9&lt;14/24)</formula>
    </cfRule>
    <cfRule type="expression" dxfId="6373" priority="172">
      <formula>B$9&lt;8/24</formula>
    </cfRule>
  </conditionalFormatting>
  <conditionalFormatting sqref="B52">
    <cfRule type="expression" dxfId="6372" priority="165">
      <formula>B$9&gt;=20/24</formula>
    </cfRule>
    <cfRule type="expression" dxfId="6371" priority="166">
      <formula>AND(B$9&gt;=14/24,B$9&lt;20/24)</formula>
    </cfRule>
    <cfRule type="expression" dxfId="6370" priority="167">
      <formula>AND(B$9&gt;=8/24,B$9&lt;14/24)</formula>
    </cfRule>
    <cfRule type="expression" dxfId="6369" priority="168">
      <formula>B$9&lt;8/24</formula>
    </cfRule>
  </conditionalFormatting>
  <conditionalFormatting sqref="B52">
    <cfRule type="expression" dxfId="6368" priority="164">
      <formula>B52&gt;$AG52</formula>
    </cfRule>
  </conditionalFormatting>
  <conditionalFormatting sqref="B59:C64">
    <cfRule type="expression" dxfId="6367" priority="156">
      <formula>B$9&gt;=20/24</formula>
    </cfRule>
    <cfRule type="expression" dxfId="6366" priority="157">
      <formula>AND(B$9&gt;=14/24,B$9&lt;20/24)</formula>
    </cfRule>
    <cfRule type="expression" dxfId="6365" priority="158">
      <formula>AND(B$9&gt;=8/24,B$9&lt;14/24)</formula>
    </cfRule>
    <cfRule type="expression" dxfId="6364" priority="159">
      <formula>B$9&lt;8/24</formula>
    </cfRule>
  </conditionalFormatting>
  <conditionalFormatting sqref="B59:C64">
    <cfRule type="expression" dxfId="6363" priority="155">
      <formula>B59&gt;$AG59</formula>
    </cfRule>
  </conditionalFormatting>
  <conditionalFormatting sqref="B77:C81">
    <cfRule type="expression" dxfId="6362" priority="151">
      <formula>B$9&gt;=20/24</formula>
    </cfRule>
    <cfRule type="expression" dxfId="6361" priority="152">
      <formula>AND(B$9&gt;=14/24,B$9&lt;20/24)</formula>
    </cfRule>
    <cfRule type="expression" dxfId="6360" priority="153">
      <formula>AND(B$9&gt;=8/24,B$9&lt;14/24)</formula>
    </cfRule>
    <cfRule type="expression" dxfId="6359" priority="154">
      <formula>B$9&lt;8/24</formula>
    </cfRule>
  </conditionalFormatting>
  <conditionalFormatting sqref="Y11:AF11">
    <cfRule type="expression" dxfId="6358" priority="147">
      <formula>Y$9&gt;=20/24</formula>
    </cfRule>
    <cfRule type="expression" dxfId="6357" priority="148">
      <formula>AND(Y$9&gt;=14/24,Y$9&lt;20/24)</formula>
    </cfRule>
    <cfRule type="expression" dxfId="6356" priority="149">
      <formula>AND(Y$9&gt;=8/24,Y$9&lt;14/24)</formula>
    </cfRule>
    <cfRule type="expression" dxfId="6355" priority="150">
      <formula>Y$9&lt;8/24</formula>
    </cfRule>
  </conditionalFormatting>
  <conditionalFormatting sqref="Y11:AF11">
    <cfRule type="expression" dxfId="6354" priority="146">
      <formula>Y11&gt;$AG11</formula>
    </cfRule>
  </conditionalFormatting>
  <conditionalFormatting sqref="A11">
    <cfRule type="expression" dxfId="6353" priority="145">
      <formula>$AH11=0</formula>
    </cfRule>
  </conditionalFormatting>
  <conditionalFormatting sqref="R11">
    <cfRule type="expression" dxfId="6352" priority="141">
      <formula>R$9&gt;=20/24</formula>
    </cfRule>
    <cfRule type="expression" dxfId="6351" priority="142">
      <formula>AND(R$9&gt;=14/24,R$9&lt;20/24)</formula>
    </cfRule>
    <cfRule type="expression" dxfId="6350" priority="143">
      <formula>AND(R$9&gt;=8/24,R$9&lt;14/24)</formula>
    </cfRule>
    <cfRule type="expression" dxfId="6349" priority="144">
      <formula>R$9&lt;8/24</formula>
    </cfRule>
  </conditionalFormatting>
  <conditionalFormatting sqref="R11">
    <cfRule type="expression" dxfId="6348" priority="140">
      <formula>R11&gt;$AG11</formula>
    </cfRule>
  </conditionalFormatting>
  <conditionalFormatting sqref="B11:Q11">
    <cfRule type="expression" dxfId="6347" priority="136">
      <formula>B$9&gt;=20/24</formula>
    </cfRule>
    <cfRule type="expression" dxfId="6346" priority="137">
      <formula>AND(B$9&gt;=14/24,B$9&lt;20/24)</formula>
    </cfRule>
    <cfRule type="expression" dxfId="6345" priority="138">
      <formula>AND(B$9&gt;=8/24,B$9&lt;14/24)</formula>
    </cfRule>
    <cfRule type="expression" dxfId="6344" priority="139">
      <formula>B$9&lt;8/24</formula>
    </cfRule>
  </conditionalFormatting>
  <conditionalFormatting sqref="B11:Q11">
    <cfRule type="expression" dxfId="6343" priority="135">
      <formula>B11&gt;$AG11</formula>
    </cfRule>
  </conditionalFormatting>
  <conditionalFormatting sqref="Y16:AF16">
    <cfRule type="expression" dxfId="6342" priority="130">
      <formula>Y$9&gt;=20/24</formula>
    </cfRule>
    <cfRule type="expression" dxfId="6341" priority="131">
      <formula>AND(Y$9&gt;=14/24,Y$9&lt;20/24)</formula>
    </cfRule>
    <cfRule type="expression" dxfId="6340" priority="132">
      <formula>AND(Y$9&gt;=8/24,Y$9&lt;14/24)</formula>
    </cfRule>
    <cfRule type="expression" dxfId="6339" priority="133">
      <formula>Y$9&lt;8/24</formula>
    </cfRule>
  </conditionalFormatting>
  <conditionalFormatting sqref="Y16:AF16">
    <cfRule type="expression" dxfId="6338" priority="129">
      <formula>Y16&gt;$AG16</formula>
    </cfRule>
  </conditionalFormatting>
  <conditionalFormatting sqref="A16">
    <cfRule type="expression" dxfId="6337" priority="128">
      <formula>$AH16=0</formula>
    </cfRule>
  </conditionalFormatting>
  <conditionalFormatting sqref="AL16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R16">
    <cfRule type="expression" dxfId="6336" priority="124">
      <formula>R$9&gt;=20/24</formula>
    </cfRule>
    <cfRule type="expression" dxfId="6335" priority="125">
      <formula>AND(R$9&gt;=14/24,R$9&lt;20/24)</formula>
    </cfRule>
    <cfRule type="expression" dxfId="6334" priority="126">
      <formula>AND(R$9&gt;=8/24,R$9&lt;14/24)</formula>
    </cfRule>
    <cfRule type="expression" dxfId="6333" priority="127">
      <formula>R$9&lt;8/24</formula>
    </cfRule>
  </conditionalFormatting>
  <conditionalFormatting sqref="R16">
    <cfRule type="expression" dxfId="6332" priority="123">
      <formula>R16&gt;$AG16</formula>
    </cfRule>
  </conditionalFormatting>
  <conditionalFormatting sqref="B16:Q16">
    <cfRule type="expression" dxfId="6331" priority="119">
      <formula>B$9&gt;=20/24</formula>
    </cfRule>
    <cfRule type="expression" dxfId="6330" priority="120">
      <formula>AND(B$9&gt;=14/24,B$9&lt;20/24)</formula>
    </cfRule>
    <cfRule type="expression" dxfId="6329" priority="121">
      <formula>AND(B$9&gt;=8/24,B$9&lt;14/24)</formula>
    </cfRule>
    <cfRule type="expression" dxfId="6328" priority="122">
      <formula>B$9&lt;8/24</formula>
    </cfRule>
  </conditionalFormatting>
  <conditionalFormatting sqref="B16:Q16">
    <cfRule type="expression" dxfId="6327" priority="118">
      <formula>B16&gt;$AG16</formula>
    </cfRule>
  </conditionalFormatting>
  <conditionalFormatting sqref="Y33:AF33">
    <cfRule type="expression" dxfId="6326" priority="113">
      <formula>Y$9&gt;=20/24</formula>
    </cfRule>
    <cfRule type="expression" dxfId="6325" priority="114">
      <formula>AND(Y$9&gt;=14/24,Y$9&lt;20/24)</formula>
    </cfRule>
    <cfRule type="expression" dxfId="6324" priority="115">
      <formula>AND(Y$9&gt;=8/24,Y$9&lt;14/24)</formula>
    </cfRule>
    <cfRule type="expression" dxfId="6323" priority="116">
      <formula>Y$9&lt;8/24</formula>
    </cfRule>
  </conditionalFormatting>
  <conditionalFormatting sqref="Y33:AF33">
    <cfRule type="expression" dxfId="6322" priority="112">
      <formula>Y33&gt;$AG33</formula>
    </cfRule>
  </conditionalFormatting>
  <conditionalFormatting sqref="A33">
    <cfRule type="expression" dxfId="6321" priority="111">
      <formula>$AH33=0</formula>
    </cfRule>
  </conditionalFormatting>
  <conditionalFormatting sqref="AL3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B33:R33">
    <cfRule type="expression" dxfId="6320" priority="102">
      <formula>B$9&gt;=20/24</formula>
    </cfRule>
    <cfRule type="expression" dxfId="6319" priority="103">
      <formula>AND(B$9&gt;=14/24,B$9&lt;20/24)</formula>
    </cfRule>
    <cfRule type="expression" dxfId="6318" priority="104">
      <formula>AND(B$9&gt;=8/24,B$9&lt;14/24)</formula>
    </cfRule>
    <cfRule type="expression" dxfId="6317" priority="105">
      <formula>B$9&lt;8/24</formula>
    </cfRule>
  </conditionalFormatting>
  <conditionalFormatting sqref="B33:R33">
    <cfRule type="expression" dxfId="6316" priority="101">
      <formula>B33&gt;$AG33</formula>
    </cfRule>
  </conditionalFormatting>
  <conditionalFormatting sqref="Y44:AF44">
    <cfRule type="expression" dxfId="6315" priority="96">
      <formula>Y$9&gt;=20/24</formula>
    </cfRule>
    <cfRule type="expression" dxfId="6314" priority="97">
      <formula>AND(Y$9&gt;=14/24,Y$9&lt;20/24)</formula>
    </cfRule>
    <cfRule type="expression" dxfId="6313" priority="98">
      <formula>AND(Y$9&gt;=8/24,Y$9&lt;14/24)</formula>
    </cfRule>
    <cfRule type="expression" dxfId="6312" priority="99">
      <formula>Y$9&lt;8/24</formula>
    </cfRule>
  </conditionalFormatting>
  <conditionalFormatting sqref="Y44:AF44">
    <cfRule type="expression" dxfId="6311" priority="95">
      <formula>Y44&gt;$AG44</formula>
    </cfRule>
  </conditionalFormatting>
  <conditionalFormatting sqref="A44">
    <cfRule type="expression" dxfId="6310" priority="94">
      <formula>$AH44=0</formula>
    </cfRule>
  </conditionalFormatting>
  <conditionalFormatting sqref="AL44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B44:R44">
    <cfRule type="expression" dxfId="6309" priority="85">
      <formula>B$9&gt;=20/24</formula>
    </cfRule>
    <cfRule type="expression" dxfId="6308" priority="86">
      <formula>AND(B$9&gt;=14/24,B$9&lt;20/24)</formula>
    </cfRule>
    <cfRule type="expression" dxfId="6307" priority="87">
      <formula>AND(B$9&gt;=8/24,B$9&lt;14/24)</formula>
    </cfRule>
    <cfRule type="expression" dxfId="6306" priority="88">
      <formula>B$9&lt;8/24</formula>
    </cfRule>
  </conditionalFormatting>
  <conditionalFormatting sqref="B44:R44">
    <cfRule type="expression" dxfId="6305" priority="84">
      <formula>B44&gt;$AG44</formula>
    </cfRule>
  </conditionalFormatting>
  <conditionalFormatting sqref="B117">
    <cfRule type="expression" dxfId="6304" priority="72">
      <formula>B$9&gt;=20/24</formula>
    </cfRule>
    <cfRule type="expression" dxfId="6303" priority="73">
      <formula>AND(B$9&gt;=14/24,B$9&lt;20/24)</formula>
    </cfRule>
    <cfRule type="expression" dxfId="6302" priority="74">
      <formula>AND(B$9&gt;=8/24,B$9&lt;14/24)</formula>
    </cfRule>
    <cfRule type="expression" dxfId="6301" priority="75">
      <formula>B$9&lt;8/24</formula>
    </cfRule>
  </conditionalFormatting>
  <conditionalFormatting sqref="D117:AF117">
    <cfRule type="expression" dxfId="6300" priority="80">
      <formula>D$9&gt;=20/24</formula>
    </cfRule>
    <cfRule type="expression" dxfId="6299" priority="81">
      <formula>AND(D$9&gt;=14/24,D$9&lt;20/24)</formula>
    </cfRule>
    <cfRule type="expression" dxfId="6298" priority="82">
      <formula>AND(D$9&gt;=8/24,D$9&lt;14/24)</formula>
    </cfRule>
    <cfRule type="expression" dxfId="6297" priority="83">
      <formula>D$9&lt;8/24</formula>
    </cfRule>
  </conditionalFormatting>
  <conditionalFormatting sqref="C117">
    <cfRule type="expression" dxfId="6296" priority="76">
      <formula>C$9&gt;=20/24</formula>
    </cfRule>
    <cfRule type="expression" dxfId="6295" priority="77">
      <formula>AND(C$9&gt;=14/24,C$9&lt;20/24)</formula>
    </cfRule>
    <cfRule type="expression" dxfId="6294" priority="78">
      <formula>AND(C$9&gt;=8/24,C$9&lt;14/24)</formula>
    </cfRule>
    <cfRule type="expression" dxfId="6293" priority="79">
      <formula>C$9&lt;8/24</formula>
    </cfRule>
  </conditionalFormatting>
  <conditionalFormatting sqref="S13:X14 S15:AA15">
    <cfRule type="expression" dxfId="6292" priority="71">
      <formula>S13&gt;$AG13</formula>
    </cfRule>
  </conditionalFormatting>
  <conditionalFormatting sqref="S12:X12">
    <cfRule type="expression" dxfId="6291" priority="67">
      <formula>S$9&gt;=20/24</formula>
    </cfRule>
    <cfRule type="expression" dxfId="6290" priority="68">
      <formula>AND(S$9&gt;=14/24,S$9&lt;20/24)</formula>
    </cfRule>
    <cfRule type="expression" dxfId="6289" priority="69">
      <formula>AND(S$9&gt;=8/24,S$9&lt;14/24)</formula>
    </cfRule>
    <cfRule type="expression" dxfId="6288" priority="70">
      <formula>S$9&lt;8/24</formula>
    </cfRule>
  </conditionalFormatting>
  <conditionalFormatting sqref="S12:X12">
    <cfRule type="expression" dxfId="6287" priority="66">
      <formula>S12&gt;$AG12</formula>
    </cfRule>
  </conditionalFormatting>
  <conditionalFormatting sqref="S13:X14 S15:AA15">
    <cfRule type="expression" dxfId="6286" priority="62">
      <formula>S$9&gt;=20/24</formula>
    </cfRule>
    <cfRule type="expression" dxfId="6285" priority="63">
      <formula>AND(S$9&gt;=14/24,S$9&lt;20/24)</formula>
    </cfRule>
    <cfRule type="expression" dxfId="6284" priority="64">
      <formula>AND(S$9&gt;=8/24,S$9&lt;14/24)</formula>
    </cfRule>
    <cfRule type="expression" dxfId="6283" priority="65">
      <formula>S$9&lt;8/24</formula>
    </cfRule>
  </conditionalFormatting>
  <conditionalFormatting sqref="S17:X32 S34:X42 S45:X45 S43:AF43">
    <cfRule type="expression" dxfId="6282" priority="58">
      <formula>S$9&gt;=20/24</formula>
    </cfRule>
    <cfRule type="expression" dxfId="6281" priority="59">
      <formula>AND(S$9&gt;=14/24,S$9&lt;20/24)</formula>
    </cfRule>
    <cfRule type="expression" dxfId="6280" priority="60">
      <formula>AND(S$9&gt;=8/24,S$9&lt;14/24)</formula>
    </cfRule>
    <cfRule type="expression" dxfId="6279" priority="61">
      <formula>S$9&lt;8/24</formula>
    </cfRule>
  </conditionalFormatting>
  <conditionalFormatting sqref="S17:X32 S34:X42 S45:X45 S43:AF43">
    <cfRule type="expression" dxfId="6278" priority="57">
      <formula>S17&gt;$AG17</formula>
    </cfRule>
  </conditionalFormatting>
  <conditionalFormatting sqref="S46:X46">
    <cfRule type="expression" dxfId="6277" priority="53">
      <formula>S$9&gt;=20/24</formula>
    </cfRule>
    <cfRule type="expression" dxfId="6276" priority="54">
      <formula>AND(S$9&gt;=14/24,S$9&lt;20/24)</formula>
    </cfRule>
    <cfRule type="expression" dxfId="6275" priority="55">
      <formula>AND(S$9&gt;=8/24,S$9&lt;14/24)</formula>
    </cfRule>
    <cfRule type="expression" dxfId="6274" priority="56">
      <formula>S$9&lt;8/24</formula>
    </cfRule>
  </conditionalFormatting>
  <conditionalFormatting sqref="S46:X46">
    <cfRule type="expression" dxfId="6273" priority="52">
      <formula>S46&gt;$AG46</formula>
    </cfRule>
  </conditionalFormatting>
  <conditionalFormatting sqref="S11:X11">
    <cfRule type="expression" dxfId="6272" priority="48">
      <formula>S$9&gt;=20/24</formula>
    </cfRule>
    <cfRule type="expression" dxfId="6271" priority="49">
      <formula>AND(S$9&gt;=14/24,S$9&lt;20/24)</formula>
    </cfRule>
    <cfRule type="expression" dxfId="6270" priority="50">
      <formula>AND(S$9&gt;=8/24,S$9&lt;14/24)</formula>
    </cfRule>
    <cfRule type="expression" dxfId="6269" priority="51">
      <formula>S$9&lt;8/24</formula>
    </cfRule>
  </conditionalFormatting>
  <conditionalFormatting sqref="S11:X11">
    <cfRule type="expression" dxfId="6268" priority="47">
      <formula>S11&gt;$AG11</formula>
    </cfRule>
  </conditionalFormatting>
  <conditionalFormatting sqref="S16:X16">
    <cfRule type="expression" dxfId="6267" priority="43">
      <formula>S$9&gt;=20/24</formula>
    </cfRule>
    <cfRule type="expression" dxfId="6266" priority="44">
      <formula>AND(S$9&gt;=14/24,S$9&lt;20/24)</formula>
    </cfRule>
    <cfRule type="expression" dxfId="6265" priority="45">
      <formula>AND(S$9&gt;=8/24,S$9&lt;14/24)</formula>
    </cfRule>
    <cfRule type="expression" dxfId="6264" priority="46">
      <formula>S$9&lt;8/24</formula>
    </cfRule>
  </conditionalFormatting>
  <conditionalFormatting sqref="S16:X16">
    <cfRule type="expression" dxfId="6263" priority="42">
      <formula>S16&gt;$AG16</formula>
    </cfRule>
  </conditionalFormatting>
  <conditionalFormatting sqref="S33:X33">
    <cfRule type="expression" dxfId="6262" priority="38">
      <formula>S$9&gt;=20/24</formula>
    </cfRule>
    <cfRule type="expression" dxfId="6261" priority="39">
      <formula>AND(S$9&gt;=14/24,S$9&lt;20/24)</formula>
    </cfRule>
    <cfRule type="expression" dxfId="6260" priority="40">
      <formula>AND(S$9&gt;=8/24,S$9&lt;14/24)</formula>
    </cfRule>
    <cfRule type="expression" dxfId="6259" priority="41">
      <formula>S$9&lt;8/24</formula>
    </cfRule>
  </conditionalFormatting>
  <conditionalFormatting sqref="S33:X33">
    <cfRule type="expression" dxfId="6258" priority="37">
      <formula>S33&gt;$AG33</formula>
    </cfRule>
  </conditionalFormatting>
  <conditionalFormatting sqref="S44:X44">
    <cfRule type="expression" dxfId="6257" priority="33">
      <formula>S$9&gt;=20/24</formula>
    </cfRule>
    <cfRule type="expression" dxfId="6256" priority="34">
      <formula>AND(S$9&gt;=14/24,S$9&lt;20/24)</formula>
    </cfRule>
    <cfRule type="expression" dxfId="6255" priority="35">
      <formula>AND(S$9&gt;=8/24,S$9&lt;14/24)</formula>
    </cfRule>
    <cfRule type="expression" dxfId="6254" priority="36">
      <formula>S$9&lt;8/24</formula>
    </cfRule>
  </conditionalFormatting>
  <conditionalFormatting sqref="S44:X44">
    <cfRule type="expression" dxfId="6253" priority="32">
      <formula>S44&gt;$AG44</formula>
    </cfRule>
  </conditionalFormatting>
  <conditionalFormatting sqref="S58:V58">
    <cfRule type="expression" dxfId="6252" priority="28">
      <formula>S$9&gt;=20/24</formula>
    </cfRule>
    <cfRule type="expression" dxfId="6251" priority="29">
      <formula>AND(S$9&gt;=14/24,S$9&lt;20/24)</formula>
    </cfRule>
    <cfRule type="expression" dxfId="6250" priority="30">
      <formula>AND(S$9&gt;=8/24,S$9&lt;14/24)</formula>
    </cfRule>
    <cfRule type="expression" dxfId="6249" priority="31">
      <formula>S$9&lt;8/24</formula>
    </cfRule>
  </conditionalFormatting>
  <conditionalFormatting sqref="S58:V58">
    <cfRule type="expression" dxfId="6248" priority="27">
      <formula>S58&gt;$AG58</formula>
    </cfRule>
  </conditionalFormatting>
  <conditionalFormatting sqref="S53:X57">
    <cfRule type="expression" dxfId="6247" priority="23">
      <formula>S$9&gt;=20/24</formula>
    </cfRule>
    <cfRule type="expression" dxfId="6246" priority="24">
      <formula>AND(S$9&gt;=14/24,S$9&lt;20/24)</formula>
    </cfRule>
    <cfRule type="expression" dxfId="6245" priority="25">
      <formula>AND(S$9&gt;=8/24,S$9&lt;14/24)</formula>
    </cfRule>
    <cfRule type="expression" dxfId="6244" priority="26">
      <formula>S$9&lt;8/24</formula>
    </cfRule>
  </conditionalFormatting>
  <conditionalFormatting sqref="S53:X57">
    <cfRule type="expression" dxfId="6243" priority="22">
      <formula>S53&gt;$AG53</formula>
    </cfRule>
  </conditionalFormatting>
  <conditionalFormatting sqref="S59:X64">
    <cfRule type="expression" dxfId="6242" priority="18">
      <formula>S$9&gt;=20/24</formula>
    </cfRule>
    <cfRule type="expression" dxfId="6241" priority="19">
      <formula>AND(S$9&gt;=14/24,S$9&lt;20/24)</formula>
    </cfRule>
    <cfRule type="expression" dxfId="6240" priority="20">
      <formula>AND(S$9&gt;=8/24,S$9&lt;14/24)</formula>
    </cfRule>
    <cfRule type="expression" dxfId="6239" priority="21">
      <formula>S$9&lt;8/24</formula>
    </cfRule>
  </conditionalFormatting>
  <conditionalFormatting sqref="S59:X64">
    <cfRule type="expression" dxfId="6238" priority="17">
      <formula>S59&gt;$AG59</formula>
    </cfRule>
  </conditionalFormatting>
  <conditionalFormatting sqref="S71:X71">
    <cfRule type="expression" dxfId="6237" priority="13">
      <formula>S$9&gt;=20/24</formula>
    </cfRule>
    <cfRule type="expression" dxfId="6236" priority="14">
      <formula>AND(S$9&gt;=14/24,S$9&lt;20/24)</formula>
    </cfRule>
    <cfRule type="expression" dxfId="6235" priority="15">
      <formula>AND(S$9&gt;=8/24,S$9&lt;14/24)</formula>
    </cfRule>
    <cfRule type="expression" dxfId="6234" priority="16">
      <formula>S$9&lt;8/24</formula>
    </cfRule>
  </conditionalFormatting>
  <conditionalFormatting sqref="S72:X73">
    <cfRule type="expression" dxfId="6233" priority="9">
      <formula>S$9&gt;=20/24</formula>
    </cfRule>
    <cfRule type="expression" dxfId="6232" priority="10">
      <formula>AND(S$9&gt;=14/24,S$9&lt;20/24)</formula>
    </cfRule>
    <cfRule type="expression" dxfId="6231" priority="11">
      <formula>AND(S$9&gt;=8/24,S$9&lt;14/24)</formula>
    </cfRule>
    <cfRule type="expression" dxfId="6230" priority="12">
      <formula>S$9&lt;8/24</formula>
    </cfRule>
  </conditionalFormatting>
  <conditionalFormatting sqref="S74:X76">
    <cfRule type="expression" dxfId="6229" priority="5">
      <formula>S$9&gt;=20/24</formula>
    </cfRule>
    <cfRule type="expression" dxfId="6228" priority="6">
      <formula>AND(S$9&gt;=14/24,S$9&lt;20/24)</formula>
    </cfRule>
    <cfRule type="expression" dxfId="6227" priority="7">
      <formula>AND(S$9&gt;=8/24,S$9&lt;14/24)</formula>
    </cfRule>
    <cfRule type="expression" dxfId="6226" priority="8">
      <formula>S$9&lt;8/24</formula>
    </cfRule>
  </conditionalFormatting>
  <conditionalFormatting sqref="S77:X81">
    <cfRule type="expression" dxfId="6225" priority="1">
      <formula>S$9&gt;=20/24</formula>
    </cfRule>
    <cfRule type="expression" dxfId="6224" priority="2">
      <formula>AND(S$9&gt;=14/24,S$9&lt;20/24)</formula>
    </cfRule>
    <cfRule type="expression" dxfId="6223" priority="3">
      <formula>AND(S$9&gt;=8/24,S$9&lt;14/24)</formula>
    </cfRule>
    <cfRule type="expression" dxfId="6222" priority="4">
      <formula>S$9&lt;8/24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2" id="{5D44C2E0-C7FC-4860-9292-9071CED9D3C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73" id="{4CD34B7C-B167-4509-AD0B-E9E7825CB5A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4" id="{DEE3E5A7-EFF3-4F4F-A5CE-41BF6995927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5" id="{CF65EAE4-F432-4163-925A-6923FCB0130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160" id="{CD8CB6D6-EA05-4248-A78F-352DDF29A42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1" id="{98548A87-4CF2-4F44-BDC5-F527A17D1A2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2" id="{F7048268-1A15-46C8-8CAB-46D041E681D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3" id="{A129C548-6D6D-4BCD-A372-47DAD67270A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8"/>
  <sheetViews>
    <sheetView topLeftCell="C1" zoomScaleNormal="100" workbookViewId="0">
      <pane ySplit="10" topLeftCell="A29" activePane="bottomLeft" state="frozen"/>
      <selection activeCell="Z85" sqref="Z85"/>
      <selection pane="bottomLeft" activeCell="Z114" sqref="Z1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2079/11/18</v>
      </c>
      <c r="C4" s="208"/>
      <c r="D4" s="208"/>
      <c r="E4" s="209" t="str">
        <f ca="1">"2079/"&amp;"11/"&amp;INT(MID(CELL("filename",G6),FIND("]",CELL("filename",G6))+1,200))</f>
        <v>2079/11/18</v>
      </c>
      <c r="F4" s="209"/>
      <c r="G4" s="209"/>
      <c r="H4" s="209" t="str">
        <f ca="1">TEXT(E4,"dddd")</f>
        <v>Saturday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512.29999999999995</v>
      </c>
      <c r="C5" s="30">
        <f t="shared" si="0"/>
        <v>484.99999999999994</v>
      </c>
      <c r="D5" s="30">
        <f t="shared" si="0"/>
        <v>490.59999999999997</v>
      </c>
      <c r="E5" s="30">
        <f t="shared" si="0"/>
        <v>493.59999999999997</v>
      </c>
      <c r="F5" s="30">
        <f t="shared" si="0"/>
        <v>503.59999999999997</v>
      </c>
      <c r="G5" s="30">
        <f t="shared" si="0"/>
        <v>506.59999999999997</v>
      </c>
      <c r="H5" s="30">
        <f t="shared" si="0"/>
        <v>530.6</v>
      </c>
      <c r="I5" s="30">
        <f t="shared" si="0"/>
        <v>539.6</v>
      </c>
      <c r="J5" s="30">
        <f t="shared" si="0"/>
        <v>420.2</v>
      </c>
      <c r="K5" s="30">
        <f t="shared" si="0"/>
        <v>373.59999999999997</v>
      </c>
      <c r="L5" s="30">
        <f t="shared" si="0"/>
        <v>434.6</v>
      </c>
      <c r="M5" s="30">
        <f t="shared" si="0"/>
        <v>570.4</v>
      </c>
      <c r="N5" s="30">
        <f t="shared" si="0"/>
        <v>520.20000000000005</v>
      </c>
      <c r="O5" s="30">
        <f t="shared" si="0"/>
        <v>543.20000000000005</v>
      </c>
      <c r="P5" s="30">
        <f t="shared" si="0"/>
        <v>532</v>
      </c>
      <c r="Q5" s="30">
        <f t="shared" si="0"/>
        <v>536</v>
      </c>
      <c r="R5" s="30">
        <f t="shared" si="0"/>
        <v>564.29999999999995</v>
      </c>
      <c r="S5" s="30">
        <f t="shared" si="0"/>
        <v>566</v>
      </c>
      <c r="T5" s="30">
        <f t="shared" si="0"/>
        <v>560</v>
      </c>
      <c r="U5" s="30">
        <f t="shared" si="0"/>
        <v>548.29999999999995</v>
      </c>
      <c r="V5" s="30">
        <f t="shared" si="0"/>
        <v>535.1</v>
      </c>
      <c r="W5" s="30">
        <f t="shared" si="0"/>
        <v>555.6</v>
      </c>
      <c r="X5" s="30">
        <f t="shared" si="0"/>
        <v>547</v>
      </c>
      <c r="Y5" s="30">
        <f t="shared" si="0"/>
        <v>445</v>
      </c>
      <c r="Z5" s="30">
        <f t="shared" si="0"/>
        <v>530</v>
      </c>
      <c r="AA5" s="30">
        <f t="shared" si="0"/>
        <v>538.20000000000005</v>
      </c>
      <c r="AB5" s="30">
        <f t="shared" si="0"/>
        <v>524.29999999999995</v>
      </c>
      <c r="AC5" s="30">
        <f t="shared" si="0"/>
        <v>544</v>
      </c>
      <c r="AD5" s="30">
        <f t="shared" si="0"/>
        <v>520.6</v>
      </c>
      <c r="AE5" s="30">
        <f t="shared" si="0"/>
        <v>545.4</v>
      </c>
      <c r="AF5" s="30">
        <f>B82</f>
        <v>530.6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1508MW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Load=1022</v>
      </c>
      <c r="B7" s="35">
        <f t="shared" ref="B7:AF7" si="1">B89</f>
        <v>1065.04</v>
      </c>
      <c r="C7" s="35">
        <f t="shared" si="1"/>
        <v>1051.6399999999999</v>
      </c>
      <c r="D7" s="35">
        <f t="shared" si="1"/>
        <v>1022.1399999999999</v>
      </c>
      <c r="E7" s="35">
        <f t="shared" si="1"/>
        <v>1027.74</v>
      </c>
      <c r="F7" s="35">
        <f t="shared" si="1"/>
        <v>1030.74</v>
      </c>
      <c r="G7" s="35">
        <f t="shared" si="1"/>
        <v>1054.24</v>
      </c>
      <c r="H7" s="35">
        <f t="shared" si="1"/>
        <v>1103.24</v>
      </c>
      <c r="I7" s="35">
        <f t="shared" si="1"/>
        <v>1187.24</v>
      </c>
      <c r="J7" s="35">
        <f t="shared" si="1"/>
        <v>1330.24</v>
      </c>
      <c r="K7" s="35">
        <f t="shared" si="1"/>
        <v>1464.34</v>
      </c>
      <c r="L7" s="35">
        <f t="shared" si="1"/>
        <v>1507.7399999999998</v>
      </c>
      <c r="M7" s="35">
        <f t="shared" si="1"/>
        <v>1493.3400000000001</v>
      </c>
      <c r="N7" s="35">
        <f>N89</f>
        <v>1422.54</v>
      </c>
      <c r="O7" s="35">
        <f t="shared" si="1"/>
        <v>1355.94</v>
      </c>
      <c r="P7" s="35">
        <f t="shared" si="1"/>
        <v>1377.44</v>
      </c>
      <c r="Q7" s="35">
        <f t="shared" si="1"/>
        <v>1328.1399999999999</v>
      </c>
      <c r="R7" s="35">
        <f t="shared" si="1"/>
        <v>1312.34</v>
      </c>
      <c r="S7" s="35">
        <f t="shared" si="1"/>
        <v>1367.1399999999999</v>
      </c>
      <c r="T7" s="35">
        <f t="shared" si="1"/>
        <v>1379.54</v>
      </c>
      <c r="U7" s="35">
        <f t="shared" si="1"/>
        <v>1373.54</v>
      </c>
      <c r="V7" s="35">
        <f t="shared" si="1"/>
        <v>1359.6399999999999</v>
      </c>
      <c r="W7" s="35">
        <f t="shared" si="1"/>
        <v>1363.74</v>
      </c>
      <c r="X7" s="35">
        <f t="shared" si="1"/>
        <v>1476.3400000000001</v>
      </c>
      <c r="Y7" s="35">
        <f t="shared" si="1"/>
        <v>1603.54</v>
      </c>
      <c r="Z7" s="35">
        <f t="shared" si="1"/>
        <v>1583.6399999999999</v>
      </c>
      <c r="AA7" s="35">
        <f t="shared" si="1"/>
        <v>1485.84</v>
      </c>
      <c r="AB7" s="35">
        <f t="shared" si="1"/>
        <v>1365.3400000000001</v>
      </c>
      <c r="AC7" s="35">
        <f t="shared" si="1"/>
        <v>1359.94</v>
      </c>
      <c r="AD7" s="35">
        <f t="shared" si="1"/>
        <v>1304.44</v>
      </c>
      <c r="AE7" s="35">
        <f t="shared" si="1"/>
        <v>1132.54</v>
      </c>
      <c r="AF7" s="35">
        <f t="shared" si="1"/>
        <v>1077.24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15.2</v>
      </c>
      <c r="C12" s="45">
        <v>17.7</v>
      </c>
      <c r="D12" s="45">
        <v>16.600000000000001</v>
      </c>
      <c r="E12" s="45">
        <v>16.600000000000001</v>
      </c>
      <c r="F12" s="45">
        <v>16.600000000000001</v>
      </c>
      <c r="G12" s="45">
        <v>16.600000000000001</v>
      </c>
      <c r="H12" s="45">
        <v>16.600000000000001</v>
      </c>
      <c r="I12" s="45">
        <v>16.600000000000001</v>
      </c>
      <c r="J12" s="45">
        <v>16.600000000000001</v>
      </c>
      <c r="K12" s="45">
        <v>16.600000000000001</v>
      </c>
      <c r="L12" s="45">
        <v>16.600000000000001</v>
      </c>
      <c r="M12" s="45">
        <v>16.600000000000001</v>
      </c>
      <c r="N12" s="45">
        <v>16.600000000000001</v>
      </c>
      <c r="O12" s="45">
        <v>16.600000000000001</v>
      </c>
      <c r="P12" s="45">
        <v>16.600000000000001</v>
      </c>
      <c r="Q12" s="45">
        <v>16.600000000000001</v>
      </c>
      <c r="R12" s="45">
        <v>16.600000000000001</v>
      </c>
      <c r="S12" s="45">
        <v>16.600000000000001</v>
      </c>
      <c r="T12" s="45">
        <v>13.7</v>
      </c>
      <c r="U12" s="45">
        <v>13.7</v>
      </c>
      <c r="V12" s="45">
        <v>13.7</v>
      </c>
      <c r="W12" s="45">
        <v>13.7</v>
      </c>
      <c r="X12" s="45">
        <v>13.7</v>
      </c>
      <c r="Y12" s="45">
        <v>11</v>
      </c>
      <c r="Z12" s="45">
        <v>11</v>
      </c>
      <c r="AA12" s="45">
        <v>11</v>
      </c>
      <c r="AB12" s="45">
        <v>11</v>
      </c>
      <c r="AC12" s="45">
        <v>11</v>
      </c>
      <c r="AD12" s="45">
        <v>11</v>
      </c>
      <c r="AE12" s="45">
        <v>11</v>
      </c>
      <c r="AF12" s="45">
        <v>11</v>
      </c>
      <c r="AG12" s="46">
        <v>52.4</v>
      </c>
      <c r="AH12" s="47">
        <f t="shared" si="2"/>
        <v>17.7</v>
      </c>
      <c r="AI12" s="48">
        <f t="shared" si="3"/>
        <v>11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</v>
      </c>
      <c r="C13" s="45">
        <v>25</v>
      </c>
      <c r="D13" s="45">
        <v>25</v>
      </c>
      <c r="E13" s="45">
        <v>25</v>
      </c>
      <c r="F13" s="45">
        <v>25</v>
      </c>
      <c r="G13" s="45">
        <v>25</v>
      </c>
      <c r="H13" s="45">
        <v>25</v>
      </c>
      <c r="I13" s="45">
        <v>25</v>
      </c>
      <c r="J13" s="45">
        <v>25</v>
      </c>
      <c r="K13" s="45">
        <v>25</v>
      </c>
      <c r="L13" s="45">
        <v>25</v>
      </c>
      <c r="M13" s="45">
        <v>25</v>
      </c>
      <c r="N13" s="45">
        <v>25</v>
      </c>
      <c r="O13" s="45">
        <v>25</v>
      </c>
      <c r="P13" s="45">
        <v>25</v>
      </c>
      <c r="Q13" s="45">
        <v>25</v>
      </c>
      <c r="R13" s="45">
        <v>25</v>
      </c>
      <c r="S13" s="45">
        <v>25</v>
      </c>
      <c r="T13" s="45">
        <v>25</v>
      </c>
      <c r="U13" s="45">
        <v>25</v>
      </c>
      <c r="V13" s="45">
        <v>25</v>
      </c>
      <c r="W13" s="45">
        <v>25</v>
      </c>
      <c r="X13" s="45">
        <v>25</v>
      </c>
      <c r="Y13" s="45">
        <v>25</v>
      </c>
      <c r="Z13" s="45">
        <v>25</v>
      </c>
      <c r="AA13" s="45">
        <v>25</v>
      </c>
      <c r="AB13" s="45">
        <v>25</v>
      </c>
      <c r="AC13" s="45">
        <v>25</v>
      </c>
      <c r="AD13" s="45">
        <v>25</v>
      </c>
      <c r="AE13" s="45">
        <v>25</v>
      </c>
      <c r="AF13" s="45">
        <v>25</v>
      </c>
      <c r="AG13" s="50">
        <v>50</v>
      </c>
      <c r="AH13" s="47">
        <f t="shared" si="2"/>
        <v>25</v>
      </c>
      <c r="AI13" s="48">
        <f t="shared" si="3"/>
        <v>25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15.6</v>
      </c>
      <c r="C14" s="45">
        <v>19.5</v>
      </c>
      <c r="D14" s="45">
        <v>19.2</v>
      </c>
      <c r="E14" s="45">
        <v>19.2</v>
      </c>
      <c r="F14" s="45">
        <v>19.2</v>
      </c>
      <c r="G14" s="45">
        <v>19.2</v>
      </c>
      <c r="H14" s="45">
        <v>19.2</v>
      </c>
      <c r="I14" s="45">
        <v>19.2</v>
      </c>
      <c r="J14" s="45">
        <v>19.2</v>
      </c>
      <c r="K14" s="45">
        <v>19.2</v>
      </c>
      <c r="L14" s="45">
        <v>19.2</v>
      </c>
      <c r="M14" s="45">
        <v>19.2</v>
      </c>
      <c r="N14" s="45">
        <v>19.2</v>
      </c>
      <c r="O14" s="45">
        <v>19.2</v>
      </c>
      <c r="P14" s="45">
        <v>19.2</v>
      </c>
      <c r="Q14" s="45">
        <v>19.2</v>
      </c>
      <c r="R14" s="45">
        <v>19.2</v>
      </c>
      <c r="S14" s="45">
        <v>19.2</v>
      </c>
      <c r="T14" s="45">
        <v>19.2</v>
      </c>
      <c r="U14" s="45">
        <v>19.2</v>
      </c>
      <c r="V14" s="45">
        <v>19.2</v>
      </c>
      <c r="W14" s="45">
        <v>19.2</v>
      </c>
      <c r="X14" s="45">
        <v>19.2</v>
      </c>
      <c r="Y14" s="45">
        <v>19.2</v>
      </c>
      <c r="Z14" s="45">
        <v>19.2</v>
      </c>
      <c r="AA14" s="45">
        <v>19.2</v>
      </c>
      <c r="AB14" s="45">
        <v>19.2</v>
      </c>
      <c r="AC14" s="45">
        <v>19.2</v>
      </c>
      <c r="AD14" s="45">
        <v>19.2</v>
      </c>
      <c r="AE14" s="45">
        <v>19.2</v>
      </c>
      <c r="AF14" s="45">
        <v>19.2</v>
      </c>
      <c r="AG14" s="50">
        <v>45</v>
      </c>
      <c r="AH14" s="47">
        <f t="shared" si="2"/>
        <v>19.5</v>
      </c>
      <c r="AI14" s="48">
        <f t="shared" si="3"/>
        <v>15.6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2"/>
        <v>12.5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7.2</v>
      </c>
      <c r="C18" s="45">
        <v>7.2</v>
      </c>
      <c r="D18" s="45">
        <v>7.1</v>
      </c>
      <c r="E18" s="45">
        <v>7.1</v>
      </c>
      <c r="F18" s="45">
        <v>7.1</v>
      </c>
      <c r="G18" s="45">
        <v>7.1</v>
      </c>
      <c r="H18" s="45">
        <v>7.1</v>
      </c>
      <c r="I18" s="45">
        <v>7.1</v>
      </c>
      <c r="J18" s="45">
        <v>7.1</v>
      </c>
      <c r="K18" s="45">
        <v>7.1</v>
      </c>
      <c r="L18" s="45">
        <v>7.1</v>
      </c>
      <c r="M18" s="45">
        <v>7.1</v>
      </c>
      <c r="N18" s="45">
        <v>7.1</v>
      </c>
      <c r="O18" s="45">
        <v>7.1</v>
      </c>
      <c r="P18" s="45">
        <v>7.1</v>
      </c>
      <c r="Q18" s="45">
        <v>7.1</v>
      </c>
      <c r="R18" s="45">
        <v>7.1</v>
      </c>
      <c r="S18" s="45"/>
      <c r="T18" s="45"/>
      <c r="U18" s="45"/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8.5</v>
      </c>
      <c r="AG18" s="51">
        <v>30</v>
      </c>
      <c r="AH18" s="47">
        <f t="shared" si="2"/>
        <v>8.5</v>
      </c>
      <c r="AI18" s="48">
        <f t="shared" si="3"/>
        <v>7.1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8.4</v>
      </c>
      <c r="C19" s="45">
        <v>7.2</v>
      </c>
      <c r="D19" s="45">
        <v>7.2</v>
      </c>
      <c r="E19" s="45">
        <v>7.2</v>
      </c>
      <c r="F19" s="45">
        <v>7.2</v>
      </c>
      <c r="G19" s="45">
        <v>7.2</v>
      </c>
      <c r="H19" s="45">
        <v>7.2</v>
      </c>
      <c r="I19" s="45">
        <v>7.2</v>
      </c>
      <c r="J19" s="45">
        <v>7.2</v>
      </c>
      <c r="K19" s="45">
        <v>7.2</v>
      </c>
      <c r="L19" s="45">
        <v>7.2</v>
      </c>
      <c r="M19" s="45">
        <v>7.2</v>
      </c>
      <c r="N19" s="45">
        <v>7.2</v>
      </c>
      <c r="O19" s="45">
        <v>7.2</v>
      </c>
      <c r="P19" s="45">
        <v>7.2</v>
      </c>
      <c r="Q19" s="45">
        <v>7.2</v>
      </c>
      <c r="R19" s="45">
        <v>7.2</v>
      </c>
      <c r="S19" s="45">
        <v>7.2</v>
      </c>
      <c r="T19" s="45">
        <v>7.2</v>
      </c>
      <c r="U19" s="45">
        <v>7.2</v>
      </c>
      <c r="V19" s="45">
        <v>7.2</v>
      </c>
      <c r="W19" s="45">
        <v>7.2</v>
      </c>
      <c r="X19" s="45">
        <v>7.2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8.4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8.9</v>
      </c>
      <c r="C22" s="45">
        <v>8</v>
      </c>
      <c r="D22" s="45">
        <v>8.1</v>
      </c>
      <c r="E22" s="45">
        <v>8.1</v>
      </c>
      <c r="F22" s="45">
        <v>8.1</v>
      </c>
      <c r="G22" s="45">
        <v>8.1</v>
      </c>
      <c r="H22" s="45">
        <v>8.1</v>
      </c>
      <c r="I22" s="45">
        <v>8.1</v>
      </c>
      <c r="J22" s="45">
        <v>8.1</v>
      </c>
      <c r="K22" s="45">
        <v>8.1</v>
      </c>
      <c r="L22" s="45">
        <v>8.1</v>
      </c>
      <c r="M22" s="45">
        <v>8.1</v>
      </c>
      <c r="N22" s="45">
        <v>8.1</v>
      </c>
      <c r="O22" s="45">
        <v>8.1</v>
      </c>
      <c r="P22" s="45">
        <v>8.1</v>
      </c>
      <c r="Q22" s="45">
        <v>8.1</v>
      </c>
      <c r="R22" s="45">
        <v>8.1</v>
      </c>
      <c r="S22" s="45">
        <v>8.1</v>
      </c>
      <c r="T22" s="45">
        <v>8.1</v>
      </c>
      <c r="U22" s="45">
        <v>8.1</v>
      </c>
      <c r="V22" s="45">
        <v>8.1</v>
      </c>
      <c r="W22" s="45">
        <v>8.1</v>
      </c>
      <c r="X22" s="45">
        <v>8.1</v>
      </c>
      <c r="Y22" s="45">
        <v>8.1</v>
      </c>
      <c r="Z22" s="45">
        <v>8.1</v>
      </c>
      <c r="AA22" s="45">
        <v>8.1</v>
      </c>
      <c r="AB22" s="45">
        <v>8.1</v>
      </c>
      <c r="AC22" s="45">
        <v>8.1</v>
      </c>
      <c r="AD22" s="45">
        <v>8.1</v>
      </c>
      <c r="AE22" s="45">
        <v>8.1</v>
      </c>
      <c r="AF22" s="45">
        <v>8.1</v>
      </c>
      <c r="AG22" s="50">
        <v>25</v>
      </c>
      <c r="AH22" s="47">
        <f t="shared" si="2"/>
        <v>8.9</v>
      </c>
      <c r="AI22" s="48">
        <f t="shared" si="3"/>
        <v>8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7.3</v>
      </c>
      <c r="C26" s="45">
        <v>7.2</v>
      </c>
      <c r="D26" s="45">
        <v>7.2</v>
      </c>
      <c r="E26" s="45">
        <v>7.2</v>
      </c>
      <c r="F26" s="45">
        <v>7.2</v>
      </c>
      <c r="G26" s="45">
        <v>7.2</v>
      </c>
      <c r="H26" s="45">
        <v>7.2</v>
      </c>
      <c r="I26" s="45">
        <v>7.2</v>
      </c>
      <c r="J26" s="45">
        <v>7.2</v>
      </c>
      <c r="K26" s="45">
        <v>7.2</v>
      </c>
      <c r="L26" s="45">
        <v>7.2</v>
      </c>
      <c r="M26" s="45">
        <v>7.2</v>
      </c>
      <c r="N26" s="45">
        <v>7.2</v>
      </c>
      <c r="O26" s="45">
        <v>7.2</v>
      </c>
      <c r="P26" s="45">
        <v>7.2</v>
      </c>
      <c r="Q26" s="45">
        <v>7.2</v>
      </c>
      <c r="R26" s="45">
        <v>7.2</v>
      </c>
      <c r="S26" s="45">
        <v>7.2</v>
      </c>
      <c r="T26" s="45">
        <v>7.2</v>
      </c>
      <c r="U26" s="45">
        <v>7.2</v>
      </c>
      <c r="V26" s="45">
        <v>7.2</v>
      </c>
      <c r="W26" s="45">
        <v>7.2</v>
      </c>
      <c r="X26" s="45">
        <v>7.2</v>
      </c>
      <c r="Y26" s="45">
        <v>7.2</v>
      </c>
      <c r="Z26" s="45">
        <v>7.2</v>
      </c>
      <c r="AA26" s="45">
        <v>7.2</v>
      </c>
      <c r="AB26" s="45">
        <v>7.2</v>
      </c>
      <c r="AC26" s="45">
        <v>7.2</v>
      </c>
      <c r="AD26" s="45">
        <v>7.2</v>
      </c>
      <c r="AE26" s="45">
        <v>7.2</v>
      </c>
      <c r="AF26" s="45">
        <v>7.2</v>
      </c>
      <c r="AG26" s="50">
        <v>23.5</v>
      </c>
      <c r="AH26" s="47">
        <f t="shared" si="2"/>
        <v>7.3</v>
      </c>
      <c r="AI26" s="48">
        <f t="shared" si="3"/>
        <v>7.2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</v>
      </c>
      <c r="C30" s="45">
        <v>11</v>
      </c>
      <c r="D30" s="45">
        <v>11</v>
      </c>
      <c r="E30" s="45">
        <v>11</v>
      </c>
      <c r="F30" s="45">
        <v>11</v>
      </c>
      <c r="G30" s="45">
        <v>11</v>
      </c>
      <c r="H30" s="45">
        <v>11</v>
      </c>
      <c r="I30" s="45">
        <v>11</v>
      </c>
      <c r="J30" s="45">
        <v>11</v>
      </c>
      <c r="K30" s="45">
        <v>11</v>
      </c>
      <c r="L30" s="45">
        <v>11</v>
      </c>
      <c r="M30" s="45">
        <v>11</v>
      </c>
      <c r="N30" s="45">
        <v>11</v>
      </c>
      <c r="O30" s="45">
        <v>11</v>
      </c>
      <c r="P30" s="45">
        <v>11</v>
      </c>
      <c r="Q30" s="45">
        <v>11</v>
      </c>
      <c r="R30" s="45">
        <v>11</v>
      </c>
      <c r="S30" s="45">
        <v>11</v>
      </c>
      <c r="T30" s="45">
        <v>11</v>
      </c>
      <c r="U30" s="45">
        <v>11</v>
      </c>
      <c r="V30" s="45">
        <v>11</v>
      </c>
      <c r="W30" s="45">
        <v>11</v>
      </c>
      <c r="X30" s="45">
        <v>11</v>
      </c>
      <c r="Y30" s="45">
        <v>11</v>
      </c>
      <c r="Z30" s="45">
        <v>11</v>
      </c>
      <c r="AA30" s="45">
        <v>11</v>
      </c>
      <c r="AB30" s="45">
        <v>11</v>
      </c>
      <c r="AC30" s="45">
        <v>11</v>
      </c>
      <c r="AD30" s="45">
        <v>11</v>
      </c>
      <c r="AE30" s="45">
        <v>11</v>
      </c>
      <c r="AF30" s="45">
        <v>11</v>
      </c>
      <c r="AG30" s="50">
        <v>22</v>
      </c>
      <c r="AH30" s="47">
        <f t="shared" si="2"/>
        <v>11</v>
      </c>
      <c r="AI30" s="48">
        <f t="shared" si="3"/>
        <v>11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8.5</v>
      </c>
      <c r="AA42" s="45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2"/>
        <v>8.5</v>
      </c>
      <c r="AI42" s="48">
        <f t="shared" si="3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6"/>
      <c r="D47" s="56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C48" si="4">SUM(B12:B46)</f>
        <v>367.6</v>
      </c>
      <c r="C48" s="60">
        <f t="shared" si="4"/>
        <v>371.8</v>
      </c>
      <c r="D48" s="60">
        <f t="shared" ref="D48" si="5">SUM(D12:D46)</f>
        <v>370.4</v>
      </c>
      <c r="E48" s="60">
        <f t="shared" ref="E48:AG48" si="6">SUM(E12:E46)</f>
        <v>370.4</v>
      </c>
      <c r="F48" s="60">
        <f t="shared" si="6"/>
        <v>370.4</v>
      </c>
      <c r="G48" s="60">
        <f t="shared" si="6"/>
        <v>370.4</v>
      </c>
      <c r="H48" s="60">
        <f t="shared" si="6"/>
        <v>370.4</v>
      </c>
      <c r="I48" s="60">
        <f t="shared" si="6"/>
        <v>370.4</v>
      </c>
      <c r="J48" s="60">
        <f t="shared" si="6"/>
        <v>370.4</v>
      </c>
      <c r="K48" s="60">
        <f t="shared" si="6"/>
        <v>370.4</v>
      </c>
      <c r="L48" s="60">
        <f t="shared" si="6"/>
        <v>370.4</v>
      </c>
      <c r="M48" s="60">
        <f t="shared" si="6"/>
        <v>370.4</v>
      </c>
      <c r="N48" s="60">
        <f t="shared" si="6"/>
        <v>370.4</v>
      </c>
      <c r="O48" s="60">
        <f t="shared" si="6"/>
        <v>370.4</v>
      </c>
      <c r="P48" s="60">
        <f t="shared" si="6"/>
        <v>370.4</v>
      </c>
      <c r="Q48" s="60">
        <f t="shared" si="6"/>
        <v>370.4</v>
      </c>
      <c r="R48" s="60">
        <f t="shared" si="6"/>
        <v>370.4</v>
      </c>
      <c r="S48" s="60">
        <f>SUM(S11:S46)</f>
        <v>388.3</v>
      </c>
      <c r="T48" s="60">
        <f t="shared" ref="T48:Y48" si="7">SUM(T11:T46)</f>
        <v>385.40000000000003</v>
      </c>
      <c r="U48" s="60">
        <f t="shared" si="7"/>
        <v>385.40000000000003</v>
      </c>
      <c r="V48" s="60">
        <f t="shared" si="7"/>
        <v>393.90000000000003</v>
      </c>
      <c r="W48" s="60">
        <f t="shared" si="7"/>
        <v>393.90000000000003</v>
      </c>
      <c r="X48" s="60">
        <f t="shared" si="7"/>
        <v>393.90000000000003</v>
      </c>
      <c r="Y48" s="60">
        <f t="shared" si="7"/>
        <v>390.59999999999997</v>
      </c>
      <c r="Z48" s="60">
        <f t="shared" si="6"/>
        <v>365.59999999999997</v>
      </c>
      <c r="AA48" s="60">
        <f t="shared" si="6"/>
        <v>365.59999999999997</v>
      </c>
      <c r="AB48" s="60">
        <f t="shared" si="6"/>
        <v>365.59999999999997</v>
      </c>
      <c r="AC48" s="60">
        <f t="shared" si="6"/>
        <v>365.59999999999997</v>
      </c>
      <c r="AD48" s="60">
        <f t="shared" si="6"/>
        <v>365.59999999999997</v>
      </c>
      <c r="AE48" s="60">
        <f t="shared" si="6"/>
        <v>365.59999999999997</v>
      </c>
      <c r="AF48" s="60">
        <f t="shared" si="6"/>
        <v>365.59999999999997</v>
      </c>
      <c r="AG48" s="61">
        <f t="shared" si="6"/>
        <v>875.68</v>
      </c>
      <c r="AH48" s="47">
        <f t="shared" si="2"/>
        <v>393.90000000000003</v>
      </c>
      <c r="AI48" s="48">
        <f t="shared" si="3"/>
        <v>365.59999999999997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76</v>
      </c>
      <c r="K49" s="45">
        <v>170</v>
      </c>
      <c r="L49" s="45">
        <v>260</v>
      </c>
      <c r="M49" s="63">
        <v>194</v>
      </c>
      <c r="N49" s="63">
        <v>110</v>
      </c>
      <c r="O49" s="45">
        <v>110</v>
      </c>
      <c r="P49" s="45">
        <v>100</v>
      </c>
      <c r="Q49" s="45">
        <v>80</v>
      </c>
      <c r="R49" s="45">
        <v>90.2</v>
      </c>
      <c r="S49" s="45">
        <v>100</v>
      </c>
      <c r="T49" s="45">
        <v>90</v>
      </c>
      <c r="U49" s="45">
        <v>90</v>
      </c>
      <c r="V49" s="45">
        <v>60</v>
      </c>
      <c r="W49" s="45">
        <v>30</v>
      </c>
      <c r="X49" s="45">
        <v>40</v>
      </c>
      <c r="Y49" s="45">
        <v>90</v>
      </c>
      <c r="Z49" s="45">
        <v>200</v>
      </c>
      <c r="AA49" s="45">
        <v>60</v>
      </c>
      <c r="AB49" s="45">
        <v>55</v>
      </c>
      <c r="AC49" s="45">
        <v>90</v>
      </c>
      <c r="AD49" s="45">
        <v>50</v>
      </c>
      <c r="AE49" s="45">
        <v>20</v>
      </c>
      <c r="AF49" s="45">
        <v>0</v>
      </c>
      <c r="AG49" s="51">
        <v>456</v>
      </c>
      <c r="AH49" s="47">
        <f t="shared" si="2"/>
        <v>260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11.2</v>
      </c>
      <c r="C51" s="67">
        <v>11.2</v>
      </c>
      <c r="D51" s="67">
        <v>11.2</v>
      </c>
      <c r="E51" s="67">
        <v>11.2</v>
      </c>
      <c r="F51" s="67">
        <v>11.2</v>
      </c>
      <c r="G51" s="67">
        <v>11.2</v>
      </c>
      <c r="H51" s="67">
        <v>11.2</v>
      </c>
      <c r="I51" s="67">
        <v>11.2</v>
      </c>
      <c r="J51" s="67">
        <v>11.2</v>
      </c>
      <c r="K51" s="67">
        <v>11.2</v>
      </c>
      <c r="L51" s="67">
        <v>11.2</v>
      </c>
      <c r="M51" s="67">
        <v>11.2</v>
      </c>
      <c r="N51" s="67">
        <v>11.2</v>
      </c>
      <c r="O51" s="67">
        <v>11.2</v>
      </c>
      <c r="P51" s="67">
        <v>11.2</v>
      </c>
      <c r="Q51" s="67">
        <v>11.2</v>
      </c>
      <c r="R51" s="67">
        <v>11.2</v>
      </c>
      <c r="S51" s="67">
        <v>11.2</v>
      </c>
      <c r="T51" s="67">
        <v>11.2</v>
      </c>
      <c r="U51" s="67">
        <v>11.2</v>
      </c>
      <c r="V51" s="67">
        <v>11.2</v>
      </c>
      <c r="W51" s="67">
        <v>11.2</v>
      </c>
      <c r="X51" s="67">
        <v>11.2</v>
      </c>
      <c r="Y51" s="67">
        <v>11.2</v>
      </c>
      <c r="Z51" s="67">
        <v>11.2</v>
      </c>
      <c r="AA51" s="67">
        <v>11.2</v>
      </c>
      <c r="AB51" s="67">
        <v>10.7</v>
      </c>
      <c r="AC51" s="67">
        <v>10.7</v>
      </c>
      <c r="AD51" s="67">
        <v>10.7</v>
      </c>
      <c r="AE51" s="67">
        <v>10.7</v>
      </c>
      <c r="AF51" s="67">
        <v>10.7</v>
      </c>
      <c r="AG51" s="68">
        <v>22.1</v>
      </c>
      <c r="AH51" s="47">
        <f t="shared" si="2"/>
        <v>11.2</v>
      </c>
      <c r="AI51" s="48">
        <f t="shared" si="3"/>
        <v>10.7</v>
      </c>
      <c r="AK51" s="49"/>
    </row>
    <row r="52" spans="1:41" ht="15.75" thickBot="1" x14ac:dyDescent="0.3">
      <c r="A52" s="69" t="s">
        <v>56</v>
      </c>
      <c r="B52" s="60">
        <f t="shared" ref="B52:C52" si="8">SUM(B49:B51)</f>
        <v>38.200000000000003</v>
      </c>
      <c r="C52" s="60">
        <f t="shared" si="8"/>
        <v>38.200000000000003</v>
      </c>
      <c r="D52" s="60">
        <f t="shared" ref="D52" si="9">SUM(D49:D51)</f>
        <v>38.200000000000003</v>
      </c>
      <c r="E52" s="60">
        <f t="shared" ref="E52:AG52" si="10">SUM(E49:E51)</f>
        <v>38.200000000000003</v>
      </c>
      <c r="F52" s="60">
        <f t="shared" si="10"/>
        <v>38.200000000000003</v>
      </c>
      <c r="G52" s="60">
        <f t="shared" si="10"/>
        <v>38.200000000000003</v>
      </c>
      <c r="H52" s="60">
        <f t="shared" si="10"/>
        <v>38.200000000000003</v>
      </c>
      <c r="I52" s="60">
        <f t="shared" si="10"/>
        <v>38.200000000000003</v>
      </c>
      <c r="J52" s="60">
        <f t="shared" si="10"/>
        <v>114.2</v>
      </c>
      <c r="K52" s="60">
        <f t="shared" si="10"/>
        <v>208.2</v>
      </c>
      <c r="L52" s="60">
        <f t="shared" si="10"/>
        <v>298.2</v>
      </c>
      <c r="M52" s="60">
        <f t="shared" si="10"/>
        <v>232.2</v>
      </c>
      <c r="N52" s="60">
        <f t="shared" si="10"/>
        <v>148.19999999999999</v>
      </c>
      <c r="O52" s="60">
        <f t="shared" si="10"/>
        <v>148.19999999999999</v>
      </c>
      <c r="P52" s="60">
        <f t="shared" si="10"/>
        <v>138.19999999999999</v>
      </c>
      <c r="Q52" s="60">
        <f t="shared" si="10"/>
        <v>118.2</v>
      </c>
      <c r="R52" s="60">
        <f t="shared" si="10"/>
        <v>128.4</v>
      </c>
      <c r="S52" s="60">
        <f t="shared" si="10"/>
        <v>138.19999999999999</v>
      </c>
      <c r="T52" s="60">
        <f t="shared" si="10"/>
        <v>128.19999999999999</v>
      </c>
      <c r="U52" s="60">
        <f t="shared" si="10"/>
        <v>128.19999999999999</v>
      </c>
      <c r="V52" s="60">
        <f t="shared" si="10"/>
        <v>98.2</v>
      </c>
      <c r="W52" s="60">
        <f t="shared" si="10"/>
        <v>68.2</v>
      </c>
      <c r="X52" s="60">
        <f t="shared" si="10"/>
        <v>78.2</v>
      </c>
      <c r="Y52" s="60">
        <f t="shared" si="10"/>
        <v>128.19999999999999</v>
      </c>
      <c r="Z52" s="60">
        <f t="shared" si="10"/>
        <v>238.2</v>
      </c>
      <c r="AA52" s="60">
        <f t="shared" si="10"/>
        <v>98.2</v>
      </c>
      <c r="AB52" s="60">
        <f t="shared" si="10"/>
        <v>92.7</v>
      </c>
      <c r="AC52" s="60">
        <f t="shared" si="10"/>
        <v>127.7</v>
      </c>
      <c r="AD52" s="60">
        <f t="shared" si="10"/>
        <v>87.7</v>
      </c>
      <c r="AE52" s="60">
        <f t="shared" si="10"/>
        <v>57.7</v>
      </c>
      <c r="AF52" s="60">
        <f t="shared" si="10"/>
        <v>37.700000000000003</v>
      </c>
      <c r="AG52" s="61">
        <f t="shared" si="10"/>
        <v>538.1</v>
      </c>
      <c r="AH52" s="47">
        <f t="shared" si="2"/>
        <v>298.2</v>
      </c>
      <c r="AI52" s="48">
        <f t="shared" si="3"/>
        <v>37.700000000000003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30</v>
      </c>
      <c r="I53" s="45">
        <v>60</v>
      </c>
      <c r="J53" s="45">
        <v>94</v>
      </c>
      <c r="K53" s="45">
        <v>141</v>
      </c>
      <c r="L53" s="45">
        <v>141</v>
      </c>
      <c r="M53" s="45">
        <v>121</v>
      </c>
      <c r="N53" s="45">
        <v>83</v>
      </c>
      <c r="O53" s="45">
        <v>82.1</v>
      </c>
      <c r="P53" s="45">
        <v>86.1</v>
      </c>
      <c r="Q53" s="45">
        <v>81</v>
      </c>
      <c r="R53" s="45">
        <v>66</v>
      </c>
      <c r="S53" s="45">
        <v>56.8</v>
      </c>
      <c r="T53" s="45">
        <v>57</v>
      </c>
      <c r="U53" s="45">
        <v>57</v>
      </c>
      <c r="V53" s="45">
        <v>66.400000000000006</v>
      </c>
      <c r="W53" s="45">
        <v>66.400000000000006</v>
      </c>
      <c r="X53" s="45">
        <v>71.599999999999994</v>
      </c>
      <c r="Y53" s="45">
        <v>123</v>
      </c>
      <c r="Z53" s="45">
        <v>140</v>
      </c>
      <c r="AA53" s="45">
        <v>112</v>
      </c>
      <c r="AB53" s="45">
        <v>79</v>
      </c>
      <c r="AC53" s="45">
        <v>59.6</v>
      </c>
      <c r="AD53" s="45">
        <v>59.1</v>
      </c>
      <c r="AE53" s="45">
        <v>30</v>
      </c>
      <c r="AF53" s="45">
        <v>0</v>
      </c>
      <c r="AG53" s="51">
        <v>144</v>
      </c>
      <c r="AH53" s="47">
        <f t="shared" si="2"/>
        <v>141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16</v>
      </c>
      <c r="I55" s="65">
        <v>46</v>
      </c>
      <c r="J55" s="65">
        <v>70</v>
      </c>
      <c r="K55" s="65">
        <v>67</v>
      </c>
      <c r="L55" s="65">
        <v>67</v>
      </c>
      <c r="M55" s="65">
        <v>69.400000000000006</v>
      </c>
      <c r="N55" s="65">
        <v>41</v>
      </c>
      <c r="O55" s="65">
        <v>41.4</v>
      </c>
      <c r="P55" s="65">
        <v>46</v>
      </c>
      <c r="Q55" s="65">
        <v>33</v>
      </c>
      <c r="R55" s="65">
        <v>33</v>
      </c>
      <c r="S55" s="65">
        <v>33</v>
      </c>
      <c r="T55" s="45">
        <v>33</v>
      </c>
      <c r="U55" s="45">
        <v>33</v>
      </c>
      <c r="V55" s="45">
        <v>33</v>
      </c>
      <c r="W55" s="45">
        <v>33</v>
      </c>
      <c r="X55" s="45">
        <v>33</v>
      </c>
      <c r="Y55" s="45">
        <v>69</v>
      </c>
      <c r="Z55" s="45">
        <v>55.1</v>
      </c>
      <c r="AA55" s="45">
        <v>69</v>
      </c>
      <c r="AB55" s="65">
        <v>56.7</v>
      </c>
      <c r="AC55" s="65">
        <v>56.7</v>
      </c>
      <c r="AD55" s="65">
        <v>56</v>
      </c>
      <c r="AE55" s="65">
        <v>16.600000000000001</v>
      </c>
      <c r="AF55" s="65">
        <v>0</v>
      </c>
      <c r="AG55" s="54">
        <v>69</v>
      </c>
      <c r="AH55" s="47">
        <f t="shared" si="2"/>
        <v>70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40.1</v>
      </c>
      <c r="C56" s="65">
        <v>40.799999999999997</v>
      </c>
      <c r="D56" s="65">
        <v>40</v>
      </c>
      <c r="E56" s="65">
        <v>40</v>
      </c>
      <c r="F56" s="65">
        <v>40</v>
      </c>
      <c r="G56" s="65">
        <v>40</v>
      </c>
      <c r="H56" s="65">
        <v>40</v>
      </c>
      <c r="I56" s="65">
        <v>40</v>
      </c>
      <c r="J56" s="65">
        <v>40</v>
      </c>
      <c r="K56" s="65">
        <v>40</v>
      </c>
      <c r="L56" s="65">
        <v>40</v>
      </c>
      <c r="M56" s="65">
        <v>40</v>
      </c>
      <c r="N56" s="65">
        <v>40</v>
      </c>
      <c r="O56" s="65">
        <v>40.1</v>
      </c>
      <c r="P56" s="65">
        <v>40.1</v>
      </c>
      <c r="Q56" s="65">
        <v>40.1</v>
      </c>
      <c r="R56" s="65">
        <v>40.1</v>
      </c>
      <c r="S56" s="65">
        <v>40.1</v>
      </c>
      <c r="T56" s="65">
        <v>40.1</v>
      </c>
      <c r="U56" s="65">
        <v>40.1</v>
      </c>
      <c r="V56" s="65">
        <v>40.1</v>
      </c>
      <c r="W56" s="65">
        <v>40.1</v>
      </c>
      <c r="X56" s="65">
        <v>40.1</v>
      </c>
      <c r="Y56" s="65">
        <v>40.1</v>
      </c>
      <c r="Z56" s="65">
        <v>40.1</v>
      </c>
      <c r="AA56" s="65">
        <v>40.1</v>
      </c>
      <c r="AB56" s="65">
        <v>40</v>
      </c>
      <c r="AC56" s="65">
        <v>40</v>
      </c>
      <c r="AD56" s="65">
        <v>40</v>
      </c>
      <c r="AE56" s="65">
        <v>40</v>
      </c>
      <c r="AF56" s="65">
        <v>40</v>
      </c>
      <c r="AG56" s="54">
        <v>60</v>
      </c>
      <c r="AH56" s="47">
        <f t="shared" si="2"/>
        <v>40.799999999999997</v>
      </c>
      <c r="AI56" s="48">
        <f t="shared" si="3"/>
        <v>40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13.5</v>
      </c>
      <c r="H57" s="65">
        <v>13.5</v>
      </c>
      <c r="I57" s="65">
        <v>13.5</v>
      </c>
      <c r="J57" s="65">
        <v>13.5</v>
      </c>
      <c r="K57" s="65">
        <v>29</v>
      </c>
      <c r="L57" s="65">
        <v>29</v>
      </c>
      <c r="M57" s="65">
        <v>15</v>
      </c>
      <c r="N57" s="65">
        <v>15</v>
      </c>
      <c r="O57" s="65">
        <v>15</v>
      </c>
      <c r="P57" s="65">
        <v>15</v>
      </c>
      <c r="Q57" s="65">
        <v>15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13</v>
      </c>
      <c r="Y57" s="65">
        <v>13</v>
      </c>
      <c r="Z57" s="65">
        <v>13</v>
      </c>
      <c r="AA57" s="65">
        <v>15</v>
      </c>
      <c r="AB57" s="65">
        <v>13</v>
      </c>
      <c r="AC57" s="65">
        <v>13</v>
      </c>
      <c r="AD57" s="65">
        <v>13.5</v>
      </c>
      <c r="AE57" s="65">
        <v>13.5</v>
      </c>
      <c r="AF57" s="65">
        <v>0</v>
      </c>
      <c r="AG57" s="54">
        <v>30</v>
      </c>
      <c r="AH57" s="47">
        <f t="shared" si="2"/>
        <v>29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8</v>
      </c>
      <c r="T58" s="65">
        <v>8</v>
      </c>
      <c r="U58" s="65">
        <v>8</v>
      </c>
      <c r="V58" s="65">
        <v>8</v>
      </c>
      <c r="W58" s="65">
        <v>8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8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13.5</v>
      </c>
      <c r="C59" s="65">
        <v>13.5</v>
      </c>
      <c r="D59" s="65">
        <v>13.5</v>
      </c>
      <c r="E59" s="65">
        <v>13.5</v>
      </c>
      <c r="F59" s="65">
        <v>13.5</v>
      </c>
      <c r="G59" s="65">
        <v>13.5</v>
      </c>
      <c r="H59" s="65">
        <v>13.5</v>
      </c>
      <c r="I59" s="65">
        <v>13.5</v>
      </c>
      <c r="J59" s="65">
        <v>13.5</v>
      </c>
      <c r="K59" s="65">
        <v>13.5</v>
      </c>
      <c r="L59" s="65">
        <v>13.5</v>
      </c>
      <c r="M59" s="65">
        <v>13.5</v>
      </c>
      <c r="N59" s="65">
        <v>13.5</v>
      </c>
      <c r="O59" s="65">
        <v>13.5</v>
      </c>
      <c r="P59" s="65">
        <v>13.5</v>
      </c>
      <c r="Q59" s="65">
        <v>13.5</v>
      </c>
      <c r="R59" s="65">
        <v>13.5</v>
      </c>
      <c r="S59" s="65">
        <v>13.5</v>
      </c>
      <c r="T59" s="65">
        <v>13.5</v>
      </c>
      <c r="U59" s="65">
        <v>13.5</v>
      </c>
      <c r="V59" s="65">
        <v>13.5</v>
      </c>
      <c r="W59" s="65">
        <v>13.5</v>
      </c>
      <c r="X59" s="65">
        <v>13.5</v>
      </c>
      <c r="Y59" s="65">
        <v>13.5</v>
      </c>
      <c r="Z59" s="65">
        <v>13.5</v>
      </c>
      <c r="AA59" s="65">
        <v>13.5</v>
      </c>
      <c r="AB59" s="65">
        <v>13.5</v>
      </c>
      <c r="AC59" s="65">
        <v>13.5</v>
      </c>
      <c r="AD59" s="65">
        <v>13.5</v>
      </c>
      <c r="AE59" s="65">
        <v>13.5</v>
      </c>
      <c r="AF59" s="65">
        <v>13.5</v>
      </c>
      <c r="AG59" s="54">
        <v>24</v>
      </c>
      <c r="AH59" s="47">
        <f t="shared" si="2"/>
        <v>13.5</v>
      </c>
      <c r="AI59" s="48">
        <f t="shared" si="3"/>
        <v>13.5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3.1</v>
      </c>
      <c r="C62" s="65">
        <v>3.1</v>
      </c>
      <c r="D62" s="65">
        <v>3.1</v>
      </c>
      <c r="E62" s="65">
        <v>3.1</v>
      </c>
      <c r="F62" s="65">
        <v>3.1</v>
      </c>
      <c r="G62" s="65">
        <v>3.1</v>
      </c>
      <c r="H62" s="65">
        <v>3.1</v>
      </c>
      <c r="I62" s="65">
        <v>3.1</v>
      </c>
      <c r="J62" s="65">
        <v>3.1</v>
      </c>
      <c r="K62" s="65">
        <v>3.1</v>
      </c>
      <c r="L62" s="65">
        <v>3.1</v>
      </c>
      <c r="M62" s="65">
        <v>3.1</v>
      </c>
      <c r="N62" s="65">
        <v>3.1</v>
      </c>
      <c r="O62" s="65">
        <v>3.1</v>
      </c>
      <c r="P62" s="65">
        <v>3.1</v>
      </c>
      <c r="Q62" s="65">
        <v>3.1</v>
      </c>
      <c r="R62" s="65">
        <v>3.1</v>
      </c>
      <c r="S62" s="65">
        <v>3.1</v>
      </c>
      <c r="T62" s="65">
        <v>3.1</v>
      </c>
      <c r="U62" s="65">
        <v>3.1</v>
      </c>
      <c r="V62" s="65">
        <v>3.1</v>
      </c>
      <c r="W62" s="65">
        <v>3.1</v>
      </c>
      <c r="X62" s="65">
        <v>3.1</v>
      </c>
      <c r="Y62" s="65">
        <v>3.1</v>
      </c>
      <c r="Z62" s="65">
        <v>3.1</v>
      </c>
      <c r="AA62" s="65">
        <v>3.1</v>
      </c>
      <c r="AB62" s="65">
        <v>3.1</v>
      </c>
      <c r="AC62" s="65">
        <v>3.1</v>
      </c>
      <c r="AD62" s="65">
        <v>3.1</v>
      </c>
      <c r="AE62" s="65">
        <v>3.1</v>
      </c>
      <c r="AF62" s="65">
        <v>3.1</v>
      </c>
      <c r="AG62" s="54">
        <v>14</v>
      </c>
      <c r="AH62" s="47">
        <f t="shared" si="2"/>
        <v>3.1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4.4000000000000004</v>
      </c>
      <c r="C63" s="65">
        <v>4.4000000000000004</v>
      </c>
      <c r="D63" s="65">
        <v>4.4000000000000004</v>
      </c>
      <c r="E63" s="65">
        <v>4.4000000000000004</v>
      </c>
      <c r="F63" s="65">
        <v>4.4000000000000004</v>
      </c>
      <c r="G63" s="65">
        <v>4.4000000000000004</v>
      </c>
      <c r="H63" s="65">
        <v>4.4000000000000004</v>
      </c>
      <c r="I63" s="65">
        <v>4.4000000000000004</v>
      </c>
      <c r="J63" s="65">
        <v>4.4000000000000004</v>
      </c>
      <c r="K63" s="65">
        <v>4.4000000000000004</v>
      </c>
      <c r="L63" s="65">
        <v>4.4000000000000004</v>
      </c>
      <c r="M63" s="65">
        <v>4.4000000000000004</v>
      </c>
      <c r="N63" s="65">
        <v>4.4000000000000004</v>
      </c>
      <c r="O63" s="65">
        <v>4.4000000000000004</v>
      </c>
      <c r="P63" s="65">
        <v>4.4000000000000004</v>
      </c>
      <c r="Q63" s="65">
        <v>4.4000000000000004</v>
      </c>
      <c r="R63" s="65">
        <v>4.4000000000000004</v>
      </c>
      <c r="S63" s="65">
        <v>4.4000000000000004</v>
      </c>
      <c r="T63" s="65">
        <v>4.4000000000000004</v>
      </c>
      <c r="U63" s="65">
        <v>4.4000000000000004</v>
      </c>
      <c r="V63" s="65">
        <v>4.4000000000000004</v>
      </c>
      <c r="W63" s="65">
        <v>4.4000000000000004</v>
      </c>
      <c r="X63" s="65">
        <v>4.4000000000000004</v>
      </c>
      <c r="Y63" s="65">
        <v>4.4000000000000004</v>
      </c>
      <c r="Z63" s="65">
        <v>4.4000000000000004</v>
      </c>
      <c r="AA63" s="65">
        <v>4.4000000000000004</v>
      </c>
      <c r="AB63" s="65">
        <v>4.4000000000000004</v>
      </c>
      <c r="AC63" s="65">
        <v>4.4000000000000004</v>
      </c>
      <c r="AD63" s="65">
        <v>4.4000000000000004</v>
      </c>
      <c r="AE63" s="65">
        <v>4.4000000000000004</v>
      </c>
      <c r="AF63" s="65">
        <v>4.4000000000000004</v>
      </c>
      <c r="AG63" s="54">
        <v>10.050000000000001</v>
      </c>
      <c r="AH63" s="47">
        <f t="shared" si="2"/>
        <v>4.4000000000000004</v>
      </c>
      <c r="AI63" s="48">
        <f t="shared" si="3"/>
        <v>4.4000000000000004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C66" si="11">SUM(B53:B65)</f>
        <v>78.640000000000015</v>
      </c>
      <c r="C66" s="60">
        <f t="shared" si="11"/>
        <v>79.34</v>
      </c>
      <c r="D66" s="60">
        <f t="shared" ref="D66" si="12">SUM(D53:D65)</f>
        <v>78.540000000000006</v>
      </c>
      <c r="E66" s="60">
        <f t="shared" ref="E66:AG66" si="13">SUM(E53:E65)</f>
        <v>78.540000000000006</v>
      </c>
      <c r="F66" s="60">
        <f t="shared" si="13"/>
        <v>78.540000000000006</v>
      </c>
      <c r="G66" s="60">
        <f t="shared" si="13"/>
        <v>92.04</v>
      </c>
      <c r="H66" s="60">
        <f t="shared" si="13"/>
        <v>138.04</v>
      </c>
      <c r="I66" s="60">
        <f t="shared" si="13"/>
        <v>198.04</v>
      </c>
      <c r="J66" s="60">
        <f t="shared" si="13"/>
        <v>256.04000000000002</v>
      </c>
      <c r="K66" s="60">
        <f t="shared" si="13"/>
        <v>315.54000000000002</v>
      </c>
      <c r="L66" s="60">
        <f t="shared" si="13"/>
        <v>315.54000000000002</v>
      </c>
      <c r="M66" s="60">
        <f t="shared" si="13"/>
        <v>283.94</v>
      </c>
      <c r="N66" s="60">
        <f t="shared" si="13"/>
        <v>217.54</v>
      </c>
      <c r="O66" s="60">
        <f t="shared" si="13"/>
        <v>217.14</v>
      </c>
      <c r="P66" s="60">
        <f t="shared" si="13"/>
        <v>225.73999999999998</v>
      </c>
      <c r="Q66" s="60">
        <f t="shared" si="13"/>
        <v>207.64</v>
      </c>
      <c r="R66" s="60">
        <f t="shared" si="13"/>
        <v>177.64</v>
      </c>
      <c r="S66" s="60">
        <f t="shared" si="13"/>
        <v>176.44</v>
      </c>
      <c r="T66" s="60">
        <f t="shared" si="13"/>
        <v>176.64</v>
      </c>
      <c r="U66" s="60">
        <f t="shared" si="13"/>
        <v>176.64</v>
      </c>
      <c r="V66" s="60">
        <f t="shared" si="13"/>
        <v>186.04</v>
      </c>
      <c r="W66" s="60">
        <f t="shared" si="13"/>
        <v>186.04</v>
      </c>
      <c r="X66" s="60">
        <f t="shared" si="13"/>
        <v>196.23999999999998</v>
      </c>
      <c r="Y66" s="60">
        <f t="shared" si="13"/>
        <v>283.64000000000004</v>
      </c>
      <c r="Z66" s="60">
        <f t="shared" si="13"/>
        <v>286.74</v>
      </c>
      <c r="AA66" s="60">
        <f t="shared" si="13"/>
        <v>274.64</v>
      </c>
      <c r="AB66" s="60">
        <f t="shared" si="13"/>
        <v>227.23999999999998</v>
      </c>
      <c r="AC66" s="60">
        <f t="shared" si="13"/>
        <v>207.84</v>
      </c>
      <c r="AD66" s="60">
        <f t="shared" si="13"/>
        <v>207.14</v>
      </c>
      <c r="AE66" s="60">
        <f t="shared" si="13"/>
        <v>138.63999999999999</v>
      </c>
      <c r="AF66" s="60">
        <f t="shared" si="13"/>
        <v>78.540000000000006</v>
      </c>
      <c r="AG66" s="61">
        <f t="shared" si="13"/>
        <v>489.91</v>
      </c>
      <c r="AH66" s="47">
        <f t="shared" si="2"/>
        <v>315.54000000000002</v>
      </c>
      <c r="AI66" s="48">
        <f t="shared" si="3"/>
        <v>78.540000000000006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14</v>
      </c>
      <c r="N67" s="45">
        <v>10</v>
      </c>
      <c r="O67" s="45">
        <v>0</v>
      </c>
      <c r="P67" s="45">
        <v>30</v>
      </c>
      <c r="Q67" s="45">
        <v>30</v>
      </c>
      <c r="R67" s="45">
        <v>30</v>
      </c>
      <c r="S67" s="45">
        <v>30</v>
      </c>
      <c r="T67" s="45">
        <v>50</v>
      </c>
      <c r="U67" s="45">
        <v>50</v>
      </c>
      <c r="V67" s="45">
        <v>50</v>
      </c>
      <c r="W67" s="45">
        <v>45</v>
      </c>
      <c r="X67" s="45">
        <v>45</v>
      </c>
      <c r="Y67" s="45">
        <v>40</v>
      </c>
      <c r="Z67" s="45">
        <v>40</v>
      </c>
      <c r="AA67" s="45">
        <v>25</v>
      </c>
      <c r="AB67" s="45">
        <v>14</v>
      </c>
      <c r="AC67" s="45">
        <v>10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50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6</v>
      </c>
      <c r="N68" s="65">
        <v>4</v>
      </c>
      <c r="O68" s="65">
        <v>0</v>
      </c>
      <c r="P68" s="65">
        <v>14.6</v>
      </c>
      <c r="Q68" s="65">
        <v>14.6</v>
      </c>
      <c r="R68" s="65">
        <v>14.6</v>
      </c>
      <c r="S68" s="65">
        <v>14.6</v>
      </c>
      <c r="T68" s="65">
        <v>17</v>
      </c>
      <c r="U68" s="65">
        <v>17</v>
      </c>
      <c r="V68" s="65">
        <v>24.3</v>
      </c>
      <c r="W68" s="65">
        <v>26</v>
      </c>
      <c r="X68" s="65">
        <v>20.100000000000001</v>
      </c>
      <c r="Y68" s="65">
        <v>25</v>
      </c>
      <c r="Z68" s="65">
        <v>19</v>
      </c>
      <c r="AA68" s="65">
        <v>9.1</v>
      </c>
      <c r="AB68" s="65">
        <v>5.6</v>
      </c>
      <c r="AC68" s="65">
        <v>3.3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26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2.2000000000000002</v>
      </c>
      <c r="N69" s="67">
        <v>2</v>
      </c>
      <c r="O69" s="67">
        <v>0</v>
      </c>
      <c r="P69" s="67">
        <v>5.3</v>
      </c>
      <c r="Q69" s="67">
        <v>5.3</v>
      </c>
      <c r="R69" s="67">
        <v>5.3</v>
      </c>
      <c r="S69" s="67">
        <v>5.3</v>
      </c>
      <c r="T69" s="67">
        <v>6.3</v>
      </c>
      <c r="U69" s="67">
        <v>6.3</v>
      </c>
      <c r="V69" s="67">
        <v>8.9</v>
      </c>
      <c r="W69" s="67">
        <v>9.5</v>
      </c>
      <c r="X69" s="67">
        <v>7.3</v>
      </c>
      <c r="Y69" s="67">
        <v>9.1</v>
      </c>
      <c r="Z69" s="67">
        <v>9.1</v>
      </c>
      <c r="AA69" s="67">
        <v>3.3</v>
      </c>
      <c r="AB69" s="67">
        <v>2</v>
      </c>
      <c r="AC69" s="67">
        <v>1.2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9.5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:C70" si="14">B67+B68+B69</f>
        <v>0</v>
      </c>
      <c r="C70" s="60">
        <f t="shared" si="14"/>
        <v>0</v>
      </c>
      <c r="D70" s="60">
        <f t="shared" ref="D70" si="15">D67+D68+D69</f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6">M67+M68+M69</f>
        <v>22.2</v>
      </c>
      <c r="N70" s="60">
        <f t="shared" si="16"/>
        <v>16</v>
      </c>
      <c r="O70" s="60">
        <f t="shared" si="16"/>
        <v>0</v>
      </c>
      <c r="P70" s="60">
        <f t="shared" si="16"/>
        <v>49.9</v>
      </c>
      <c r="Q70" s="60">
        <f t="shared" si="16"/>
        <v>49.9</v>
      </c>
      <c r="R70" s="60">
        <f t="shared" si="16"/>
        <v>49.9</v>
      </c>
      <c r="S70" s="60">
        <f t="shared" si="16"/>
        <v>49.9</v>
      </c>
      <c r="T70" s="60">
        <f t="shared" si="16"/>
        <v>73.3</v>
      </c>
      <c r="U70" s="60">
        <f t="shared" si="16"/>
        <v>73.3</v>
      </c>
      <c r="V70" s="60">
        <f t="shared" si="16"/>
        <v>83.2</v>
      </c>
      <c r="W70" s="60">
        <f t="shared" si="16"/>
        <v>80.5</v>
      </c>
      <c r="X70" s="60">
        <f t="shared" si="16"/>
        <v>72.399999999999991</v>
      </c>
      <c r="Y70" s="60">
        <f t="shared" si="16"/>
        <v>74.099999999999994</v>
      </c>
      <c r="Z70" s="60">
        <f t="shared" si="16"/>
        <v>68.099999999999994</v>
      </c>
      <c r="AA70" s="60">
        <f t="shared" si="16"/>
        <v>37.4</v>
      </c>
      <c r="AB70" s="60">
        <f t="shared" si="16"/>
        <v>21.6</v>
      </c>
      <c r="AC70" s="60">
        <f t="shared" si="16"/>
        <v>14.5</v>
      </c>
      <c r="AD70" s="60">
        <f t="shared" si="16"/>
        <v>0</v>
      </c>
      <c r="AE70" s="60">
        <f t="shared" si="16"/>
        <v>0</v>
      </c>
      <c r="AF70" s="60">
        <f t="shared" si="16"/>
        <v>0</v>
      </c>
      <c r="AG70" s="61">
        <f>SUM(AG67:AG69)</f>
        <v>106</v>
      </c>
      <c r="AH70" s="47">
        <f t="shared" si="2"/>
        <v>83.2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65.400000000000006</v>
      </c>
      <c r="C71" s="45">
        <v>62.4</v>
      </c>
      <c r="D71" s="45">
        <v>65.400000000000006</v>
      </c>
      <c r="E71" s="45">
        <v>70</v>
      </c>
      <c r="F71" s="45">
        <v>64</v>
      </c>
      <c r="G71" s="45">
        <v>55</v>
      </c>
      <c r="H71" s="45">
        <v>58</v>
      </c>
      <c r="I71" s="45">
        <v>60</v>
      </c>
      <c r="J71" s="45">
        <v>64</v>
      </c>
      <c r="K71" s="45">
        <v>66</v>
      </c>
      <c r="L71" s="45">
        <v>59.4</v>
      </c>
      <c r="M71" s="45">
        <v>65.3</v>
      </c>
      <c r="N71" s="45">
        <v>69</v>
      </c>
      <c r="O71" s="45">
        <v>71</v>
      </c>
      <c r="P71" s="45">
        <v>69</v>
      </c>
      <c r="Q71" s="45">
        <v>62</v>
      </c>
      <c r="R71" s="45">
        <v>57</v>
      </c>
      <c r="S71" s="45">
        <v>72.3</v>
      </c>
      <c r="T71" s="45">
        <v>68</v>
      </c>
      <c r="U71" s="45">
        <v>70</v>
      </c>
      <c r="V71" s="45">
        <v>66.3</v>
      </c>
      <c r="W71" s="45">
        <v>58.1</v>
      </c>
      <c r="X71" s="45">
        <v>54.6</v>
      </c>
      <c r="Y71" s="45">
        <v>65</v>
      </c>
      <c r="Z71" s="45">
        <v>65</v>
      </c>
      <c r="AA71" s="45">
        <v>63</v>
      </c>
      <c r="AB71" s="45">
        <v>68.2</v>
      </c>
      <c r="AC71" s="45">
        <v>58.5</v>
      </c>
      <c r="AD71" s="45">
        <v>58.8</v>
      </c>
      <c r="AE71" s="45">
        <v>60.3</v>
      </c>
      <c r="AF71" s="45">
        <v>64.5</v>
      </c>
      <c r="AG71" s="51"/>
      <c r="AH71" s="47">
        <f t="shared" si="2"/>
        <v>72.3</v>
      </c>
      <c r="AI71" s="48">
        <f t="shared" si="3"/>
        <v>54.6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329.7</v>
      </c>
      <c r="C73" s="65">
        <v>311.60000000000002</v>
      </c>
      <c r="D73" s="65">
        <v>289</v>
      </c>
      <c r="E73" s="65">
        <v>290</v>
      </c>
      <c r="F73" s="65">
        <v>299</v>
      </c>
      <c r="G73" s="65">
        <v>318</v>
      </c>
      <c r="H73" s="65">
        <v>318</v>
      </c>
      <c r="I73" s="65">
        <v>340</v>
      </c>
      <c r="J73" s="65">
        <v>345</v>
      </c>
      <c r="K73" s="65">
        <v>210</v>
      </c>
      <c r="L73" s="65">
        <v>170</v>
      </c>
      <c r="M73" s="65">
        <v>237</v>
      </c>
      <c r="N73" s="65">
        <v>370</v>
      </c>
      <c r="O73" s="65">
        <v>323</v>
      </c>
      <c r="P73" s="65">
        <v>348</v>
      </c>
      <c r="Q73" s="65">
        <v>341</v>
      </c>
      <c r="R73" s="65">
        <v>350</v>
      </c>
      <c r="S73" s="65">
        <v>363</v>
      </c>
      <c r="T73" s="65">
        <v>350</v>
      </c>
      <c r="U73" s="65">
        <v>345</v>
      </c>
      <c r="V73" s="65">
        <v>337</v>
      </c>
      <c r="W73" s="65">
        <v>332</v>
      </c>
      <c r="X73" s="65">
        <v>356</v>
      </c>
      <c r="Y73" s="65">
        <v>355</v>
      </c>
      <c r="Z73" s="65">
        <v>253</v>
      </c>
      <c r="AA73" s="65">
        <v>340</v>
      </c>
      <c r="AB73" s="65">
        <v>342.6</v>
      </c>
      <c r="AC73" s="65">
        <v>332.8</v>
      </c>
      <c r="AD73" s="65">
        <v>346.2</v>
      </c>
      <c r="AE73" s="65">
        <v>323</v>
      </c>
      <c r="AF73" s="65">
        <v>337</v>
      </c>
      <c r="AG73" s="75"/>
      <c r="AH73" s="47">
        <f t="shared" si="2"/>
        <v>370</v>
      </c>
      <c r="AI73" s="48">
        <f t="shared" si="3"/>
        <v>170</v>
      </c>
      <c r="AK73" s="49"/>
    </row>
    <row r="74" spans="1:40" x14ac:dyDescent="0.25">
      <c r="A74" s="53" t="s">
        <v>78</v>
      </c>
      <c r="B74" s="65">
        <v>54.6</v>
      </c>
      <c r="C74" s="65">
        <v>53.8</v>
      </c>
      <c r="D74" s="65">
        <v>51.4</v>
      </c>
      <c r="E74" s="65">
        <v>51.4</v>
      </c>
      <c r="F74" s="65">
        <v>51.4</v>
      </c>
      <c r="G74" s="65">
        <v>51.4</v>
      </c>
      <c r="H74" s="65">
        <v>51.4</v>
      </c>
      <c r="I74" s="65">
        <v>51.4</v>
      </c>
      <c r="J74" s="65">
        <v>51.4</v>
      </c>
      <c r="K74" s="65">
        <v>65</v>
      </c>
      <c r="L74" s="65">
        <v>65</v>
      </c>
      <c r="M74" s="65">
        <v>53.1</v>
      </c>
      <c r="N74" s="65">
        <v>52.2</v>
      </c>
      <c r="O74" s="65">
        <v>47</v>
      </c>
      <c r="P74" s="65">
        <v>47</v>
      </c>
      <c r="Q74" s="65">
        <v>47</v>
      </c>
      <c r="R74" s="65">
        <v>47</v>
      </c>
      <c r="S74" s="65">
        <v>47</v>
      </c>
      <c r="T74" s="76">
        <v>66</v>
      </c>
      <c r="U74" s="76">
        <v>66</v>
      </c>
      <c r="V74" s="76">
        <v>66</v>
      </c>
      <c r="W74" s="76">
        <v>66</v>
      </c>
      <c r="X74" s="76">
        <v>66</v>
      </c>
      <c r="Y74" s="65">
        <v>56</v>
      </c>
      <c r="Z74" s="65">
        <v>56</v>
      </c>
      <c r="AA74" s="65">
        <v>56</v>
      </c>
      <c r="AB74" s="65">
        <v>54.4</v>
      </c>
      <c r="AC74" s="65">
        <v>58</v>
      </c>
      <c r="AD74" s="65">
        <v>58</v>
      </c>
      <c r="AE74" s="65">
        <v>56.1</v>
      </c>
      <c r="AF74" s="65">
        <v>59.9</v>
      </c>
      <c r="AG74" s="75"/>
      <c r="AH74" s="47">
        <f t="shared" si="2"/>
        <v>66</v>
      </c>
      <c r="AI74" s="48">
        <f t="shared" si="3"/>
        <v>47</v>
      </c>
      <c r="AK74" s="49"/>
    </row>
    <row r="75" spans="1:40" x14ac:dyDescent="0.25">
      <c r="A75" s="53" t="s">
        <v>79</v>
      </c>
      <c r="B75" s="45">
        <v>75.900000000000006</v>
      </c>
      <c r="C75" s="45">
        <v>79.5</v>
      </c>
      <c r="D75" s="45">
        <v>74.2</v>
      </c>
      <c r="E75" s="45">
        <v>74.2</v>
      </c>
      <c r="F75" s="45">
        <v>74.2</v>
      </c>
      <c r="G75" s="45">
        <v>74.2</v>
      </c>
      <c r="H75" s="45">
        <v>74.2</v>
      </c>
      <c r="I75" s="45">
        <v>74.2</v>
      </c>
      <c r="J75" s="45">
        <v>74.2</v>
      </c>
      <c r="K75" s="45">
        <v>74.2</v>
      </c>
      <c r="L75" s="45">
        <v>74.2</v>
      </c>
      <c r="M75" s="45">
        <v>74.2</v>
      </c>
      <c r="N75" s="45">
        <v>74.2</v>
      </c>
      <c r="O75" s="45">
        <v>74.2</v>
      </c>
      <c r="P75" s="45">
        <v>74.2</v>
      </c>
      <c r="Q75" s="45">
        <v>77</v>
      </c>
      <c r="R75" s="45">
        <v>77</v>
      </c>
      <c r="S75" s="45">
        <v>77</v>
      </c>
      <c r="T75" s="45">
        <v>77</v>
      </c>
      <c r="U75" s="45">
        <v>74</v>
      </c>
      <c r="V75" s="45">
        <v>74</v>
      </c>
      <c r="W75" s="45">
        <v>74</v>
      </c>
      <c r="X75" s="45">
        <v>74</v>
      </c>
      <c r="Y75" s="45">
        <v>66</v>
      </c>
      <c r="Z75" s="45">
        <v>66</v>
      </c>
      <c r="AA75" s="45">
        <v>66</v>
      </c>
      <c r="AB75" s="45">
        <v>68</v>
      </c>
      <c r="AC75" s="45">
        <v>70</v>
      </c>
      <c r="AD75" s="45">
        <v>76</v>
      </c>
      <c r="AE75" s="45">
        <v>76.2</v>
      </c>
      <c r="AF75" s="45">
        <v>79</v>
      </c>
      <c r="AG75" s="75"/>
      <c r="AH75" s="47">
        <f t="shared" ref="AH75:AH117" si="17">MAX(B75:AF75)</f>
        <v>79.5</v>
      </c>
      <c r="AI75" s="48">
        <f t="shared" ref="AI75:AI117" si="18">MIN(B75:AF75)</f>
        <v>66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7"/>
        <v>5</v>
      </c>
      <c r="AI76" s="48">
        <f t="shared" si="18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7"/>
        <v>0</v>
      </c>
      <c r="AI77" s="48">
        <f t="shared" si="18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7"/>
        <v>0</v>
      </c>
      <c r="AI78" s="48">
        <f t="shared" si="18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7"/>
        <v>0</v>
      </c>
      <c r="AI79" s="48">
        <f t="shared" si="18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7"/>
        <v>0</v>
      </c>
      <c r="AI80" s="48">
        <f t="shared" si="18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7"/>
        <v>0</v>
      </c>
      <c r="AI81" s="48">
        <f t="shared" si="18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C82" si="19">SUMIF(B71:B81,"&gt;0")</f>
        <v>530.6</v>
      </c>
      <c r="C82" s="60">
        <f t="shared" si="19"/>
        <v>512.29999999999995</v>
      </c>
      <c r="D82" s="60">
        <f t="shared" ref="D82:AF82" si="20">SUMIF(D71:D81,"&gt;0")</f>
        <v>484.99999999999994</v>
      </c>
      <c r="E82" s="60">
        <f t="shared" si="20"/>
        <v>490.59999999999997</v>
      </c>
      <c r="F82" s="60">
        <f t="shared" si="20"/>
        <v>493.59999999999997</v>
      </c>
      <c r="G82" s="60">
        <f t="shared" si="20"/>
        <v>503.59999999999997</v>
      </c>
      <c r="H82" s="60">
        <f t="shared" si="20"/>
        <v>506.59999999999997</v>
      </c>
      <c r="I82" s="60">
        <f t="shared" si="20"/>
        <v>530.6</v>
      </c>
      <c r="J82" s="60">
        <f t="shared" si="20"/>
        <v>539.6</v>
      </c>
      <c r="K82" s="60">
        <f t="shared" si="20"/>
        <v>420.2</v>
      </c>
      <c r="L82" s="60">
        <f t="shared" si="20"/>
        <v>373.59999999999997</v>
      </c>
      <c r="M82" s="60">
        <f t="shared" si="20"/>
        <v>434.6</v>
      </c>
      <c r="N82" s="60">
        <f t="shared" si="20"/>
        <v>570.4</v>
      </c>
      <c r="O82" s="60">
        <f t="shared" si="20"/>
        <v>520.20000000000005</v>
      </c>
      <c r="P82" s="60">
        <f t="shared" si="20"/>
        <v>543.20000000000005</v>
      </c>
      <c r="Q82" s="60">
        <f t="shared" si="20"/>
        <v>532</v>
      </c>
      <c r="R82" s="60">
        <f t="shared" si="20"/>
        <v>536</v>
      </c>
      <c r="S82" s="60">
        <f t="shared" si="20"/>
        <v>564.29999999999995</v>
      </c>
      <c r="T82" s="60">
        <f t="shared" si="20"/>
        <v>566</v>
      </c>
      <c r="U82" s="60">
        <f t="shared" si="20"/>
        <v>560</v>
      </c>
      <c r="V82" s="60">
        <f t="shared" si="20"/>
        <v>548.29999999999995</v>
      </c>
      <c r="W82" s="60">
        <f t="shared" si="20"/>
        <v>535.1</v>
      </c>
      <c r="X82" s="60">
        <f t="shared" si="20"/>
        <v>555.6</v>
      </c>
      <c r="Y82" s="60">
        <f t="shared" si="20"/>
        <v>547</v>
      </c>
      <c r="Z82" s="60">
        <f t="shared" si="20"/>
        <v>445</v>
      </c>
      <c r="AA82" s="60">
        <f t="shared" si="20"/>
        <v>530</v>
      </c>
      <c r="AB82" s="60">
        <f t="shared" si="20"/>
        <v>538.20000000000005</v>
      </c>
      <c r="AC82" s="60">
        <f t="shared" si="20"/>
        <v>524.29999999999995</v>
      </c>
      <c r="AD82" s="60">
        <f t="shared" si="20"/>
        <v>544</v>
      </c>
      <c r="AE82" s="60">
        <f t="shared" si="20"/>
        <v>520.6</v>
      </c>
      <c r="AF82" s="60">
        <f t="shared" si="20"/>
        <v>545.4</v>
      </c>
      <c r="AG82" s="88">
        <f>SUM(AG71:AG81)</f>
        <v>0</v>
      </c>
      <c r="AH82" s="47">
        <f t="shared" si="17"/>
        <v>570.4</v>
      </c>
      <c r="AI82" s="48">
        <f t="shared" si="18"/>
        <v>373.59999999999997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7"/>
        <v>0</v>
      </c>
      <c r="AI83" s="48">
        <f t="shared" si="18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7"/>
        <v>0</v>
      </c>
      <c r="AI84" s="48">
        <f t="shared" si="18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7"/>
        <v>0</v>
      </c>
      <c r="AI85" s="48">
        <f t="shared" si="18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7"/>
        <v>0</v>
      </c>
      <c r="AI86" s="48">
        <f t="shared" si="18"/>
        <v>0</v>
      </c>
    </row>
    <row r="87" spans="1:40" ht="15.75" thickBot="1" x14ac:dyDescent="0.3">
      <c r="A87" s="74" t="s">
        <v>94</v>
      </c>
      <c r="B87" s="95">
        <f t="shared" ref="B87:C87" si="21">B48+B52+B70+B66+B82+B86</f>
        <v>1015.0400000000001</v>
      </c>
      <c r="C87" s="95">
        <f t="shared" si="21"/>
        <v>1001.64</v>
      </c>
      <c r="D87" s="95">
        <f t="shared" ref="D87:AG87" si="22">D48+D52+D70+D66+D82+D86</f>
        <v>972.13999999999987</v>
      </c>
      <c r="E87" s="95">
        <f t="shared" si="22"/>
        <v>977.74</v>
      </c>
      <c r="F87" s="95">
        <f t="shared" si="22"/>
        <v>980.74</v>
      </c>
      <c r="G87" s="95">
        <f t="shared" si="22"/>
        <v>1004.24</v>
      </c>
      <c r="H87" s="95">
        <f t="shared" si="22"/>
        <v>1053.24</v>
      </c>
      <c r="I87" s="95">
        <f t="shared" si="22"/>
        <v>1137.24</v>
      </c>
      <c r="J87" s="95">
        <f t="shared" si="22"/>
        <v>1280.24</v>
      </c>
      <c r="K87" s="95">
        <f t="shared" si="22"/>
        <v>1314.34</v>
      </c>
      <c r="L87" s="95">
        <f t="shared" si="22"/>
        <v>1357.7399999999998</v>
      </c>
      <c r="M87" s="95">
        <f t="shared" si="22"/>
        <v>1343.3400000000001</v>
      </c>
      <c r="N87" s="95">
        <f t="shared" si="22"/>
        <v>1322.54</v>
      </c>
      <c r="O87" s="95">
        <f t="shared" si="22"/>
        <v>1255.94</v>
      </c>
      <c r="P87" s="95">
        <f t="shared" si="22"/>
        <v>1327.44</v>
      </c>
      <c r="Q87" s="95">
        <f t="shared" si="22"/>
        <v>1278.1399999999999</v>
      </c>
      <c r="R87" s="95">
        <f t="shared" si="22"/>
        <v>1262.3399999999999</v>
      </c>
      <c r="S87" s="95">
        <f t="shared" si="22"/>
        <v>1317.1399999999999</v>
      </c>
      <c r="T87" s="95">
        <f t="shared" si="22"/>
        <v>1329.54</v>
      </c>
      <c r="U87" s="95">
        <f t="shared" si="22"/>
        <v>1323.54</v>
      </c>
      <c r="V87" s="95">
        <f t="shared" si="22"/>
        <v>1309.6399999999999</v>
      </c>
      <c r="W87" s="95">
        <f t="shared" si="22"/>
        <v>1263.74</v>
      </c>
      <c r="X87" s="95">
        <f t="shared" si="22"/>
        <v>1296.3400000000001</v>
      </c>
      <c r="Y87" s="95">
        <f t="shared" si="22"/>
        <v>1423.54</v>
      </c>
      <c r="Z87" s="95">
        <f t="shared" si="22"/>
        <v>1403.6399999999999</v>
      </c>
      <c r="AA87" s="95">
        <f t="shared" si="22"/>
        <v>1305.8399999999999</v>
      </c>
      <c r="AB87" s="95">
        <f t="shared" si="22"/>
        <v>1245.3400000000001</v>
      </c>
      <c r="AC87" s="95">
        <f t="shared" si="22"/>
        <v>1239.94</v>
      </c>
      <c r="AD87" s="95">
        <f t="shared" si="22"/>
        <v>1204.44</v>
      </c>
      <c r="AE87" s="95">
        <f t="shared" si="22"/>
        <v>1082.54</v>
      </c>
      <c r="AF87" s="95">
        <f t="shared" si="22"/>
        <v>1027.24</v>
      </c>
      <c r="AG87" s="61">
        <f t="shared" si="22"/>
        <v>2065.09</v>
      </c>
      <c r="AH87" s="47">
        <f>MAX(B87:AF87)</f>
        <v>1423.54</v>
      </c>
      <c r="AI87" s="48">
        <f>MIN(B87:AF87)</f>
        <v>972.13999999999987</v>
      </c>
    </row>
    <row r="88" spans="1:40" ht="15.75" thickBot="1" x14ac:dyDescent="0.3">
      <c r="A88" s="96" t="s">
        <v>95</v>
      </c>
      <c r="B88" s="97">
        <v>50</v>
      </c>
      <c r="C88" s="97">
        <v>50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150</v>
      </c>
      <c r="L88" s="97">
        <v>150</v>
      </c>
      <c r="M88" s="97">
        <v>150</v>
      </c>
      <c r="N88" s="97">
        <v>100</v>
      </c>
      <c r="O88" s="97">
        <v>100</v>
      </c>
      <c r="P88" s="97">
        <v>50</v>
      </c>
      <c r="Q88" s="97">
        <v>50</v>
      </c>
      <c r="R88" s="97">
        <v>50</v>
      </c>
      <c r="S88" s="97">
        <v>50</v>
      </c>
      <c r="T88" s="97">
        <v>50</v>
      </c>
      <c r="U88" s="97">
        <v>50</v>
      </c>
      <c r="V88" s="97">
        <v>50</v>
      </c>
      <c r="W88" s="97">
        <v>100</v>
      </c>
      <c r="X88" s="97">
        <v>180</v>
      </c>
      <c r="Y88" s="97">
        <v>180</v>
      </c>
      <c r="Z88" s="97">
        <v>180</v>
      </c>
      <c r="AA88" s="97">
        <v>180</v>
      </c>
      <c r="AB88" s="97">
        <v>120</v>
      </c>
      <c r="AC88" s="97">
        <v>120</v>
      </c>
      <c r="AD88" s="97">
        <v>100</v>
      </c>
      <c r="AE88" s="97">
        <v>50</v>
      </c>
      <c r="AF88" s="97">
        <v>50</v>
      </c>
      <c r="AG88" s="88"/>
      <c r="AH88" s="47">
        <f t="shared" si="17"/>
        <v>180</v>
      </c>
      <c r="AI88" s="48">
        <f t="shared" si="18"/>
        <v>50</v>
      </c>
    </row>
    <row r="89" spans="1:40" ht="15.75" thickBot="1" x14ac:dyDescent="0.3">
      <c r="A89" s="74" t="s">
        <v>96</v>
      </c>
      <c r="B89" s="95">
        <f t="shared" ref="B89:C89" si="23">B87+B88</f>
        <v>1065.04</v>
      </c>
      <c r="C89" s="95">
        <f t="shared" si="23"/>
        <v>1051.6399999999999</v>
      </c>
      <c r="D89" s="95">
        <f t="shared" ref="D89:AF89" si="24">D87+D88</f>
        <v>1022.1399999999999</v>
      </c>
      <c r="E89" s="95">
        <f t="shared" si="24"/>
        <v>1027.74</v>
      </c>
      <c r="F89" s="95">
        <f t="shared" si="24"/>
        <v>1030.74</v>
      </c>
      <c r="G89" s="95">
        <f t="shared" si="24"/>
        <v>1054.24</v>
      </c>
      <c r="H89" s="95">
        <f t="shared" si="24"/>
        <v>1103.24</v>
      </c>
      <c r="I89" s="95">
        <f t="shared" si="24"/>
        <v>1187.24</v>
      </c>
      <c r="J89" s="95">
        <f t="shared" si="24"/>
        <v>1330.24</v>
      </c>
      <c r="K89" s="95">
        <f t="shared" si="24"/>
        <v>1464.34</v>
      </c>
      <c r="L89" s="95">
        <f t="shared" si="24"/>
        <v>1507.7399999999998</v>
      </c>
      <c r="M89" s="95">
        <f t="shared" si="24"/>
        <v>1493.3400000000001</v>
      </c>
      <c r="N89" s="95">
        <f t="shared" si="24"/>
        <v>1422.54</v>
      </c>
      <c r="O89" s="95">
        <f t="shared" si="24"/>
        <v>1355.94</v>
      </c>
      <c r="P89" s="95">
        <f t="shared" si="24"/>
        <v>1377.44</v>
      </c>
      <c r="Q89" s="95">
        <f t="shared" si="24"/>
        <v>1328.1399999999999</v>
      </c>
      <c r="R89" s="95">
        <f t="shared" si="24"/>
        <v>1312.34</v>
      </c>
      <c r="S89" s="95">
        <f t="shared" si="24"/>
        <v>1367.1399999999999</v>
      </c>
      <c r="T89" s="95">
        <f t="shared" si="24"/>
        <v>1379.54</v>
      </c>
      <c r="U89" s="95">
        <f t="shared" si="24"/>
        <v>1373.54</v>
      </c>
      <c r="V89" s="95">
        <f t="shared" si="24"/>
        <v>1359.6399999999999</v>
      </c>
      <c r="W89" s="95">
        <f t="shared" si="24"/>
        <v>1363.74</v>
      </c>
      <c r="X89" s="95">
        <f t="shared" si="24"/>
        <v>1476.3400000000001</v>
      </c>
      <c r="Y89" s="95">
        <f t="shared" si="24"/>
        <v>1603.54</v>
      </c>
      <c r="Z89" s="95">
        <f t="shared" si="24"/>
        <v>1583.6399999999999</v>
      </c>
      <c r="AA89" s="95">
        <f t="shared" si="24"/>
        <v>1485.84</v>
      </c>
      <c r="AB89" s="95">
        <f t="shared" si="24"/>
        <v>1365.3400000000001</v>
      </c>
      <c r="AC89" s="95">
        <f t="shared" si="24"/>
        <v>1359.94</v>
      </c>
      <c r="AD89" s="95">
        <f t="shared" si="24"/>
        <v>1304.44</v>
      </c>
      <c r="AE89" s="95">
        <f t="shared" si="24"/>
        <v>1132.54</v>
      </c>
      <c r="AF89" s="95">
        <f t="shared" si="24"/>
        <v>1077.24</v>
      </c>
      <c r="AG89" s="88">
        <f>AG86+AG82+AG70+AG66+AG48+AG88</f>
        <v>1526.99</v>
      </c>
      <c r="AH89" s="47">
        <f t="shared" si="17"/>
        <v>1603.54</v>
      </c>
      <c r="AI89" s="48">
        <f t="shared" si="18"/>
        <v>1022.1399999999999</v>
      </c>
    </row>
    <row r="90" spans="1:40" ht="15.75" thickBot="1" x14ac:dyDescent="0.3">
      <c r="A90" s="74" t="s">
        <v>97</v>
      </c>
      <c r="B90" s="95">
        <f t="shared" ref="B90:C90" si="25">B89-B97</f>
        <v>1065.04</v>
      </c>
      <c r="C90" s="95">
        <f t="shared" si="25"/>
        <v>1051.6399999999999</v>
      </c>
      <c r="D90" s="95">
        <f t="shared" ref="D90:AF90" si="26">D89-D97</f>
        <v>1022.1399999999999</v>
      </c>
      <c r="E90" s="95">
        <f t="shared" si="26"/>
        <v>1027.74</v>
      </c>
      <c r="F90" s="95">
        <f t="shared" si="26"/>
        <v>1030.74</v>
      </c>
      <c r="G90" s="95">
        <f t="shared" si="26"/>
        <v>1054.24</v>
      </c>
      <c r="H90" s="95">
        <f t="shared" si="26"/>
        <v>1103.24</v>
      </c>
      <c r="I90" s="95">
        <f t="shared" si="26"/>
        <v>1187.24</v>
      </c>
      <c r="J90" s="95">
        <f t="shared" si="26"/>
        <v>1330.24</v>
      </c>
      <c r="K90" s="95">
        <f t="shared" si="26"/>
        <v>1464.34</v>
      </c>
      <c r="L90" s="95">
        <f t="shared" si="26"/>
        <v>1507.7399999999998</v>
      </c>
      <c r="M90" s="95">
        <f t="shared" si="26"/>
        <v>1493.3400000000001</v>
      </c>
      <c r="N90" s="95">
        <f t="shared" si="26"/>
        <v>1422.54</v>
      </c>
      <c r="O90" s="95">
        <f t="shared" si="26"/>
        <v>1355.94</v>
      </c>
      <c r="P90" s="95">
        <f t="shared" si="26"/>
        <v>1377.44</v>
      </c>
      <c r="Q90" s="95">
        <f t="shared" si="26"/>
        <v>1328.1399999999999</v>
      </c>
      <c r="R90" s="95">
        <f t="shared" si="26"/>
        <v>1312.34</v>
      </c>
      <c r="S90" s="95">
        <f t="shared" si="26"/>
        <v>1367.1399999999999</v>
      </c>
      <c r="T90" s="95">
        <f t="shared" si="26"/>
        <v>1379.54</v>
      </c>
      <c r="U90" s="95">
        <f t="shared" si="26"/>
        <v>1373.54</v>
      </c>
      <c r="V90" s="95">
        <f t="shared" si="26"/>
        <v>1359.6399999999999</v>
      </c>
      <c r="W90" s="95">
        <f t="shared" si="26"/>
        <v>1363.74</v>
      </c>
      <c r="X90" s="95">
        <f t="shared" si="26"/>
        <v>1476.3400000000001</v>
      </c>
      <c r="Y90" s="95">
        <f t="shared" si="26"/>
        <v>1603.54</v>
      </c>
      <c r="Z90" s="95">
        <f t="shared" si="26"/>
        <v>1583.6399999999999</v>
      </c>
      <c r="AA90" s="95">
        <f t="shared" si="26"/>
        <v>1485.84</v>
      </c>
      <c r="AB90" s="95">
        <f t="shared" si="26"/>
        <v>1365.3400000000001</v>
      </c>
      <c r="AC90" s="95">
        <f t="shared" si="26"/>
        <v>1359.94</v>
      </c>
      <c r="AD90" s="95">
        <f t="shared" si="26"/>
        <v>1304.44</v>
      </c>
      <c r="AE90" s="95">
        <f t="shared" si="26"/>
        <v>1132.54</v>
      </c>
      <c r="AF90" s="95">
        <f t="shared" si="26"/>
        <v>1077.24</v>
      </c>
      <c r="AG90" s="88"/>
      <c r="AH90" s="47">
        <f t="shared" si="17"/>
        <v>1603.54</v>
      </c>
      <c r="AI90" s="48">
        <f t="shared" si="18"/>
        <v>1022.1399999999999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7"/>
        <v>0</v>
      </c>
      <c r="AI91" s="48">
        <f t="shared" si="18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7"/>
        <v>0</v>
      </c>
      <c r="AI92" s="48">
        <f t="shared" si="18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7"/>
        <v>0</v>
      </c>
      <c r="AI93" s="48">
        <f t="shared" si="18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7"/>
        <v>0</v>
      </c>
      <c r="AI94" s="48">
        <f t="shared" si="18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7"/>
        <v>0</v>
      </c>
      <c r="AI95" s="48">
        <f t="shared" si="18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7"/>
        <v>0</v>
      </c>
      <c r="AI96" s="48">
        <f t="shared" si="18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7"/>
        <v>0</v>
      </c>
      <c r="AI97" s="48">
        <f t="shared" si="18"/>
        <v>0</v>
      </c>
      <c r="AK97" s="49"/>
    </row>
    <row r="98" spans="1:37" ht="15.75" thickBot="1" x14ac:dyDescent="0.3">
      <c r="A98" s="74" t="s">
        <v>102</v>
      </c>
      <c r="B98" s="60">
        <f t="shared" ref="B98:C98" si="27">B82-B97</f>
        <v>530.6</v>
      </c>
      <c r="C98" s="60">
        <f t="shared" si="27"/>
        <v>512.29999999999995</v>
      </c>
      <c r="D98" s="60">
        <f t="shared" ref="D98:AF98" si="28">D82-D97</f>
        <v>484.99999999999994</v>
      </c>
      <c r="E98" s="60">
        <f t="shared" si="28"/>
        <v>490.59999999999997</v>
      </c>
      <c r="F98" s="60">
        <f t="shared" si="28"/>
        <v>493.59999999999997</v>
      </c>
      <c r="G98" s="60">
        <f t="shared" si="28"/>
        <v>503.59999999999997</v>
      </c>
      <c r="H98" s="60">
        <f t="shared" si="28"/>
        <v>506.59999999999997</v>
      </c>
      <c r="I98" s="60">
        <f t="shared" si="28"/>
        <v>530.6</v>
      </c>
      <c r="J98" s="60">
        <f t="shared" si="28"/>
        <v>539.6</v>
      </c>
      <c r="K98" s="60">
        <f t="shared" si="28"/>
        <v>420.2</v>
      </c>
      <c r="L98" s="60">
        <f t="shared" si="28"/>
        <v>373.59999999999997</v>
      </c>
      <c r="M98" s="60">
        <f t="shared" si="28"/>
        <v>434.6</v>
      </c>
      <c r="N98" s="60">
        <f t="shared" si="28"/>
        <v>570.4</v>
      </c>
      <c r="O98" s="60">
        <f t="shared" si="28"/>
        <v>520.20000000000005</v>
      </c>
      <c r="P98" s="60">
        <f t="shared" si="28"/>
        <v>543.20000000000005</v>
      </c>
      <c r="Q98" s="60">
        <f t="shared" si="28"/>
        <v>532</v>
      </c>
      <c r="R98" s="60">
        <f t="shared" si="28"/>
        <v>536</v>
      </c>
      <c r="S98" s="60">
        <f t="shared" si="28"/>
        <v>564.29999999999995</v>
      </c>
      <c r="T98" s="60">
        <f t="shared" si="28"/>
        <v>566</v>
      </c>
      <c r="U98" s="60">
        <f t="shared" si="28"/>
        <v>560</v>
      </c>
      <c r="V98" s="60">
        <f t="shared" si="28"/>
        <v>548.29999999999995</v>
      </c>
      <c r="W98" s="60">
        <f t="shared" si="28"/>
        <v>535.1</v>
      </c>
      <c r="X98" s="60">
        <f t="shared" si="28"/>
        <v>555.6</v>
      </c>
      <c r="Y98" s="60">
        <f t="shared" si="28"/>
        <v>547</v>
      </c>
      <c r="Z98" s="60">
        <f t="shared" si="28"/>
        <v>445</v>
      </c>
      <c r="AA98" s="60">
        <f t="shared" si="28"/>
        <v>530</v>
      </c>
      <c r="AB98" s="60">
        <f t="shared" si="28"/>
        <v>538.20000000000005</v>
      </c>
      <c r="AC98" s="60">
        <f t="shared" si="28"/>
        <v>524.29999999999995</v>
      </c>
      <c r="AD98" s="60">
        <f t="shared" si="28"/>
        <v>544</v>
      </c>
      <c r="AE98" s="60">
        <f t="shared" si="28"/>
        <v>520.6</v>
      </c>
      <c r="AF98" s="60">
        <f t="shared" si="28"/>
        <v>545.4</v>
      </c>
      <c r="AG98" s="88"/>
      <c r="AH98" s="47">
        <f t="shared" si="17"/>
        <v>570.4</v>
      </c>
      <c r="AI98" s="48">
        <f t="shared" si="18"/>
        <v>373.59999999999997</v>
      </c>
    </row>
    <row r="99" spans="1:37" x14ac:dyDescent="0.25">
      <c r="A99" s="100" t="s">
        <v>103</v>
      </c>
      <c r="B99" s="101">
        <v>49.99</v>
      </c>
      <c r="C99" s="101">
        <v>50.02</v>
      </c>
      <c r="D99" s="101">
        <v>50.03</v>
      </c>
      <c r="E99" s="101">
        <v>50.04</v>
      </c>
      <c r="F99" s="101">
        <v>50.01</v>
      </c>
      <c r="G99" s="101">
        <v>50.06</v>
      </c>
      <c r="H99" s="101">
        <v>50.06</v>
      </c>
      <c r="I99" s="101">
        <v>50.05</v>
      </c>
      <c r="J99" s="101">
        <v>50.1</v>
      </c>
      <c r="K99" s="101">
        <v>50.08</v>
      </c>
      <c r="L99" s="101">
        <v>50.01</v>
      </c>
      <c r="M99" s="101">
        <v>50.131999999999998</v>
      </c>
      <c r="N99" s="101">
        <v>49.999000000000002</v>
      </c>
      <c r="O99" s="101">
        <v>49.947000000000003</v>
      </c>
      <c r="P99" s="101">
        <v>49.947000000000003</v>
      </c>
      <c r="Q99" s="101">
        <v>49.947000000000003</v>
      </c>
      <c r="R99" s="101">
        <v>49.98</v>
      </c>
      <c r="S99" s="101">
        <v>50.054000000000002</v>
      </c>
      <c r="T99" s="101"/>
      <c r="U99" s="101">
        <v>49.975999999999999</v>
      </c>
      <c r="V99" s="101">
        <v>49.848999999999997</v>
      </c>
      <c r="W99" s="101">
        <v>49.914000000000001</v>
      </c>
      <c r="X99" s="101">
        <v>50.042000000000002</v>
      </c>
      <c r="Y99" s="101">
        <v>49.875999999999998</v>
      </c>
      <c r="Z99" s="101">
        <v>49.906999999999996</v>
      </c>
      <c r="AA99" s="101">
        <v>49.997</v>
      </c>
      <c r="AB99" s="101">
        <v>49.95</v>
      </c>
      <c r="AC99" s="101">
        <v>49.951000000000001</v>
      </c>
      <c r="AD99" s="101">
        <v>49.737000000000002</v>
      </c>
      <c r="AE99" s="101">
        <v>50.16</v>
      </c>
      <c r="AF99" s="101">
        <v>50.026000000000003</v>
      </c>
      <c r="AG99" s="102"/>
      <c r="AH99" s="47">
        <f t="shared" si="17"/>
        <v>50.16</v>
      </c>
      <c r="AI99" s="48">
        <f t="shared" si="18"/>
        <v>49.737000000000002</v>
      </c>
    </row>
    <row r="100" spans="1:37" x14ac:dyDescent="0.25">
      <c r="A100" s="103" t="s">
        <v>104</v>
      </c>
      <c r="B100" s="65">
        <v>130</v>
      </c>
      <c r="C100" s="65">
        <v>131.19999999999999</v>
      </c>
      <c r="D100" s="65">
        <v>131.69999999999999</v>
      </c>
      <c r="E100" s="65">
        <v>131.69999999999999</v>
      </c>
      <c r="F100" s="65">
        <v>131.69999999999999</v>
      </c>
      <c r="G100" s="65">
        <v>129.80000000000001</v>
      </c>
      <c r="H100" s="65">
        <v>129.80000000000001</v>
      </c>
      <c r="I100" s="65">
        <v>126.8</v>
      </c>
      <c r="J100" s="65">
        <v>124.6</v>
      </c>
      <c r="K100" s="65">
        <v>125.8</v>
      </c>
      <c r="L100" s="65">
        <v>125.3</v>
      </c>
      <c r="M100" s="65">
        <v>126.2</v>
      </c>
      <c r="N100" s="65">
        <v>124.2</v>
      </c>
      <c r="O100" s="65">
        <v>124.4</v>
      </c>
      <c r="P100" s="65">
        <v>124.4</v>
      </c>
      <c r="Q100" s="65">
        <v>125.1</v>
      </c>
      <c r="R100" s="65">
        <v>125.4</v>
      </c>
      <c r="S100" s="65">
        <v>125.3</v>
      </c>
      <c r="T100" s="65"/>
      <c r="U100" s="65"/>
      <c r="V100" s="65">
        <v>128</v>
      </c>
      <c r="W100" s="65">
        <v>128</v>
      </c>
      <c r="X100" s="65">
        <v>127.4</v>
      </c>
      <c r="Y100" s="65">
        <v>129</v>
      </c>
      <c r="Z100" s="65">
        <v>128.5</v>
      </c>
      <c r="AA100" s="65">
        <v>129</v>
      </c>
      <c r="AB100" s="65">
        <v>128.69999999999999</v>
      </c>
      <c r="AC100" s="65">
        <v>128.80000000000001</v>
      </c>
      <c r="AD100" s="65">
        <v>128.80000000000001</v>
      </c>
      <c r="AE100" s="65">
        <v>130</v>
      </c>
      <c r="AF100" s="65">
        <v>128.69999999999999</v>
      </c>
      <c r="AG100" s="104"/>
      <c r="AH100" s="47">
        <f t="shared" si="17"/>
        <v>131.69999999999999</v>
      </c>
      <c r="AI100" s="48">
        <f t="shared" si="18"/>
        <v>124.2</v>
      </c>
    </row>
    <row r="101" spans="1:37" x14ac:dyDescent="0.25">
      <c r="A101" s="103" t="s">
        <v>105</v>
      </c>
      <c r="B101" s="65">
        <v>133.1</v>
      </c>
      <c r="C101" s="65">
        <v>134.30000000000001</v>
      </c>
      <c r="D101" s="65">
        <v>134.6</v>
      </c>
      <c r="E101" s="65">
        <v>134.6</v>
      </c>
      <c r="F101" s="65">
        <v>134.6</v>
      </c>
      <c r="G101" s="65">
        <v>132.69999999999999</v>
      </c>
      <c r="H101" s="65">
        <v>132.69999999999999</v>
      </c>
      <c r="I101" s="65">
        <v>129.6</v>
      </c>
      <c r="J101" s="65">
        <v>127.7</v>
      </c>
      <c r="K101" s="65">
        <v>63.9</v>
      </c>
      <c r="L101" s="65">
        <v>127.5</v>
      </c>
      <c r="M101" s="65">
        <v>129.19999999999999</v>
      </c>
      <c r="N101" s="65">
        <v>127.1</v>
      </c>
      <c r="O101" s="65">
        <v>127</v>
      </c>
      <c r="P101" s="65">
        <v>127</v>
      </c>
      <c r="Q101" s="65">
        <v>128.1</v>
      </c>
      <c r="R101" s="65">
        <v>128</v>
      </c>
      <c r="S101" s="65">
        <v>128.1</v>
      </c>
      <c r="T101" s="65"/>
      <c r="U101" s="65"/>
      <c r="V101" s="65">
        <v>130</v>
      </c>
      <c r="W101" s="65">
        <v>130</v>
      </c>
      <c r="X101" s="65">
        <v>130</v>
      </c>
      <c r="Y101" s="65">
        <v>131</v>
      </c>
      <c r="Z101" s="65">
        <v>132</v>
      </c>
      <c r="AA101" s="65">
        <v>132</v>
      </c>
      <c r="AB101" s="65">
        <v>131</v>
      </c>
      <c r="AC101" s="65">
        <v>131.30000000000001</v>
      </c>
      <c r="AD101" s="65">
        <v>131.30000000000001</v>
      </c>
      <c r="AE101" s="65">
        <v>132.80000000000001</v>
      </c>
      <c r="AF101" s="65">
        <v>131.9</v>
      </c>
      <c r="AG101" s="104"/>
      <c r="AH101" s="47">
        <f t="shared" si="17"/>
        <v>134.6</v>
      </c>
      <c r="AI101" s="48">
        <f t="shared" si="18"/>
        <v>63.9</v>
      </c>
    </row>
    <row r="102" spans="1:37" x14ac:dyDescent="0.25">
      <c r="A102" s="103" t="s">
        <v>106</v>
      </c>
      <c r="B102" s="65">
        <v>129.69999999999999</v>
      </c>
      <c r="C102" s="65">
        <v>130.5</v>
      </c>
      <c r="D102" s="65">
        <v>131.9</v>
      </c>
      <c r="E102" s="65">
        <v>131.9</v>
      </c>
      <c r="F102" s="65">
        <v>131.9</v>
      </c>
      <c r="G102" s="65">
        <v>131.4</v>
      </c>
      <c r="H102" s="65">
        <v>131.4</v>
      </c>
      <c r="I102" s="65">
        <v>126.6</v>
      </c>
      <c r="J102" s="65">
        <v>125.3</v>
      </c>
      <c r="K102" s="65">
        <v>127.7</v>
      </c>
      <c r="L102" s="65">
        <v>128.5</v>
      </c>
      <c r="M102" s="65">
        <v>127.4</v>
      </c>
      <c r="N102" s="65">
        <v>125.6</v>
      </c>
      <c r="O102" s="65">
        <v>127</v>
      </c>
      <c r="P102" s="65">
        <v>127</v>
      </c>
      <c r="Q102" s="65">
        <v>128.9</v>
      </c>
      <c r="R102" s="65">
        <v>130.80000000000001</v>
      </c>
      <c r="S102" s="65">
        <v>125.7</v>
      </c>
      <c r="T102" s="65"/>
      <c r="U102" s="65"/>
      <c r="V102" s="65">
        <v>130</v>
      </c>
      <c r="W102" s="65">
        <v>130.6</v>
      </c>
      <c r="X102" s="65">
        <v>129.19999999999999</v>
      </c>
      <c r="Y102" s="65">
        <v>127</v>
      </c>
      <c r="Z102" s="65">
        <v>128.30000000000001</v>
      </c>
      <c r="AA102" s="65">
        <v>131.4</v>
      </c>
      <c r="AB102" s="65">
        <v>130.69999999999999</v>
      </c>
      <c r="AC102" s="65">
        <v>127.7</v>
      </c>
      <c r="AD102" s="65">
        <v>127.7</v>
      </c>
      <c r="AE102" s="65">
        <v>130.4</v>
      </c>
      <c r="AF102" s="65">
        <v>1285.5</v>
      </c>
      <c r="AG102" s="104"/>
      <c r="AH102" s="47">
        <f t="shared" si="17"/>
        <v>1285.5</v>
      </c>
      <c r="AI102" s="48">
        <f t="shared" si="18"/>
        <v>125.3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7"/>
        <v>0</v>
      </c>
      <c r="AI103" s="48">
        <f t="shared" si="18"/>
        <v>0</v>
      </c>
    </row>
    <row r="104" spans="1:37" x14ac:dyDescent="0.25">
      <c r="A104" s="105" t="s">
        <v>108</v>
      </c>
      <c r="B104" s="106">
        <v>133.5</v>
      </c>
      <c r="C104" s="106">
        <v>135.80000000000001</v>
      </c>
      <c r="D104" s="106">
        <v>136.1</v>
      </c>
      <c r="E104" s="106">
        <v>135</v>
      </c>
      <c r="F104" s="106">
        <v>132</v>
      </c>
      <c r="G104" s="106">
        <v>130.80000000000001</v>
      </c>
      <c r="H104" s="106">
        <v>130.80000000000001</v>
      </c>
      <c r="I104" s="106">
        <v>133.30000000000001</v>
      </c>
      <c r="J104" s="106">
        <v>131.69999999999999</v>
      </c>
      <c r="K104" s="106">
        <v>131.9</v>
      </c>
      <c r="L104" s="106">
        <v>132.9</v>
      </c>
      <c r="M104" s="106">
        <v>134.1</v>
      </c>
      <c r="N104" s="106">
        <v>129.30000000000001</v>
      </c>
      <c r="O104" s="106">
        <v>132.6</v>
      </c>
      <c r="P104" s="106">
        <v>132.6</v>
      </c>
      <c r="Q104" s="106">
        <v>131.69999999999999</v>
      </c>
      <c r="R104" s="106">
        <v>132.4</v>
      </c>
      <c r="S104" s="106">
        <v>130</v>
      </c>
      <c r="T104" s="106"/>
      <c r="U104" s="106"/>
      <c r="V104" s="106">
        <v>136</v>
      </c>
      <c r="W104" s="106">
        <v>132.5</v>
      </c>
      <c r="X104" s="106">
        <v>131</v>
      </c>
      <c r="Y104" s="106">
        <v>136.1</v>
      </c>
      <c r="Z104" s="106">
        <v>135.4</v>
      </c>
      <c r="AA104" s="106">
        <v>135.6</v>
      </c>
      <c r="AB104" s="106">
        <v>133.5</v>
      </c>
      <c r="AC104" s="106">
        <v>133.30000000000001</v>
      </c>
      <c r="AD104" s="106">
        <v>133.30000000000001</v>
      </c>
      <c r="AE104" s="106">
        <v>134</v>
      </c>
      <c r="AF104" s="106">
        <v>132</v>
      </c>
      <c r="AG104" s="107"/>
      <c r="AH104" s="47">
        <f t="shared" si="17"/>
        <v>136.1</v>
      </c>
      <c r="AI104" s="48">
        <f t="shared" si="18"/>
        <v>129.30000000000001</v>
      </c>
    </row>
    <row r="105" spans="1:37" x14ac:dyDescent="0.25">
      <c r="A105" s="103" t="s">
        <v>109</v>
      </c>
      <c r="B105" s="65">
        <v>132.80000000000001</v>
      </c>
      <c r="C105" s="65">
        <v>137</v>
      </c>
      <c r="D105" s="65">
        <v>137</v>
      </c>
      <c r="E105" s="65">
        <v>137</v>
      </c>
      <c r="F105" s="65">
        <v>135.6</v>
      </c>
      <c r="G105" s="65">
        <v>134.37</v>
      </c>
      <c r="H105" s="65">
        <v>134.37</v>
      </c>
      <c r="I105" s="65">
        <v>133.5</v>
      </c>
      <c r="J105" s="65">
        <v>134.37</v>
      </c>
      <c r="K105" s="65">
        <v>129.5</v>
      </c>
      <c r="L105" s="65">
        <v>129.9</v>
      </c>
      <c r="M105" s="65">
        <v>127.5</v>
      </c>
      <c r="N105" s="65">
        <v>126.7</v>
      </c>
      <c r="O105" s="65">
        <v>131</v>
      </c>
      <c r="P105" s="65">
        <v>131</v>
      </c>
      <c r="Q105" s="65">
        <v>134</v>
      </c>
      <c r="R105" s="65">
        <v>132.9</v>
      </c>
      <c r="S105" s="65">
        <v>129.5</v>
      </c>
      <c r="T105" s="65"/>
      <c r="U105" s="65"/>
      <c r="V105" s="65">
        <v>131.4</v>
      </c>
      <c r="W105" s="65">
        <v>136.6</v>
      </c>
      <c r="X105" s="65">
        <v>131.6</v>
      </c>
      <c r="Y105" s="65">
        <v>130</v>
      </c>
      <c r="Z105" s="65">
        <v>130</v>
      </c>
      <c r="AA105" s="65">
        <v>133</v>
      </c>
      <c r="AB105" s="65">
        <v>133.5</v>
      </c>
      <c r="AC105" s="65">
        <v>135.1</v>
      </c>
      <c r="AD105" s="65">
        <v>135.1</v>
      </c>
      <c r="AE105" s="65">
        <v>132.6</v>
      </c>
      <c r="AF105" s="65">
        <v>130.69999999999999</v>
      </c>
      <c r="AG105" s="104"/>
      <c r="AH105" s="47">
        <f t="shared" si="17"/>
        <v>137</v>
      </c>
      <c r="AI105" s="48">
        <f t="shared" si="18"/>
        <v>126.7</v>
      </c>
    </row>
    <row r="106" spans="1:37" ht="15.75" thickBot="1" x14ac:dyDescent="0.3">
      <c r="A106" s="103" t="s">
        <v>110</v>
      </c>
      <c r="B106" s="92">
        <v>66.599999999999994</v>
      </c>
      <c r="C106" s="92">
        <v>67.099999999999994</v>
      </c>
      <c r="D106" s="92">
        <v>67.3</v>
      </c>
      <c r="E106" s="92">
        <v>66.5</v>
      </c>
      <c r="F106" s="92">
        <v>66</v>
      </c>
      <c r="G106" s="92">
        <v>66.400000000000006</v>
      </c>
      <c r="H106" s="92">
        <v>66.400000000000006</v>
      </c>
      <c r="I106" s="92">
        <v>64.599999999999994</v>
      </c>
      <c r="J106" s="92">
        <v>63.6</v>
      </c>
      <c r="K106" s="92">
        <v>63.8</v>
      </c>
      <c r="L106" s="92">
        <v>64</v>
      </c>
      <c r="M106" s="92">
        <v>64.7</v>
      </c>
      <c r="N106" s="92">
        <v>63.8</v>
      </c>
      <c r="O106" s="92">
        <v>63.5</v>
      </c>
      <c r="P106" s="92">
        <v>63.5</v>
      </c>
      <c r="Q106" s="92">
        <v>63.5</v>
      </c>
      <c r="R106" s="92">
        <v>64.3</v>
      </c>
      <c r="S106" s="92">
        <v>64.3</v>
      </c>
      <c r="T106" s="92"/>
      <c r="U106" s="92"/>
      <c r="V106" s="92">
        <v>65</v>
      </c>
      <c r="W106" s="92">
        <v>65.2</v>
      </c>
      <c r="X106" s="92">
        <v>65.2</v>
      </c>
      <c r="Y106" s="92">
        <v>66</v>
      </c>
      <c r="Z106" s="92">
        <v>66</v>
      </c>
      <c r="AA106" s="92">
        <v>66</v>
      </c>
      <c r="AB106" s="92">
        <v>65.5</v>
      </c>
      <c r="AC106" s="92">
        <v>65.8</v>
      </c>
      <c r="AD106" s="92">
        <v>65.8</v>
      </c>
      <c r="AE106" s="92">
        <v>66.5</v>
      </c>
      <c r="AF106" s="92">
        <v>66.099999999999994</v>
      </c>
      <c r="AG106" s="108"/>
      <c r="AH106" s="47">
        <f t="shared" si="17"/>
        <v>67.3</v>
      </c>
      <c r="AI106" s="48">
        <f t="shared" si="18"/>
        <v>63.5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7"/>
        <v>0</v>
      </c>
      <c r="AI107" s="48">
        <f t="shared" si="18"/>
        <v>0</v>
      </c>
    </row>
    <row r="108" spans="1:37" ht="15.75" thickBot="1" x14ac:dyDescent="0.3">
      <c r="A108" s="110" t="s">
        <v>112</v>
      </c>
      <c r="B108" s="111">
        <f t="shared" ref="B108:C108" si="29">SUM(B18,B24,B27:B28,B56,B58:B59,B61,B63,B109:B113,B135,B141,B147,B156,B158,B170,B177,B180:B181,B188,B190,B192,B196:B198,B200:B202,B207,B213:B214,B216:B218,B226,B231)</f>
        <v>133.20000000000002</v>
      </c>
      <c r="C108" s="111">
        <f t="shared" si="29"/>
        <v>171.14000000000001</v>
      </c>
      <c r="D108" s="111">
        <f t="shared" ref="D108:AF108" si="30">SUM(D18,D24,D27:D28,D56,D58:D59,D61,D63,D109:D113,D135,D141,D147,D156,D158,D170,D177,D180:D181,D188,D190,D192,D196:D198,D200:D202,D207,D213:D214,D216:D218,D226,D231)</f>
        <v>113.04</v>
      </c>
      <c r="E108" s="111">
        <f t="shared" si="30"/>
        <v>106.44</v>
      </c>
      <c r="F108" s="111">
        <f t="shared" si="30"/>
        <v>115.44</v>
      </c>
      <c r="G108" s="111">
        <f t="shared" si="30"/>
        <v>153.83999999999997</v>
      </c>
      <c r="H108" s="111">
        <f t="shared" ref="H108:J108" si="31">SUM(H18,H24,H27:H28,H56,H58:H59,H61,H63,H109:H113,H135,H141,H147,H156,H158,H170,H177,H180:H181,H188,H190,H192,H196:H198,H200:H202,H207,H213:H214,H216:H218,H226,H231)</f>
        <v>153.83999999999997</v>
      </c>
      <c r="I108" s="111">
        <f t="shared" si="31"/>
        <v>229.44</v>
      </c>
      <c r="J108" s="111">
        <f t="shared" si="31"/>
        <v>259.94</v>
      </c>
      <c r="K108" s="111">
        <f t="shared" si="30"/>
        <v>310.03000000000003</v>
      </c>
      <c r="L108" s="111">
        <f t="shared" si="30"/>
        <v>331.13999999999993</v>
      </c>
      <c r="M108" s="111">
        <f t="shared" si="30"/>
        <v>317.64</v>
      </c>
      <c r="N108" s="111">
        <f t="shared" si="30"/>
        <v>304.74</v>
      </c>
      <c r="O108" s="111">
        <f t="shared" si="30"/>
        <v>276.24</v>
      </c>
      <c r="P108" s="111">
        <v>42</v>
      </c>
      <c r="Q108" s="111">
        <f t="shared" si="30"/>
        <v>250.8</v>
      </c>
      <c r="R108" s="111">
        <f t="shared" si="30"/>
        <v>238.1</v>
      </c>
      <c r="S108" s="111">
        <f t="shared" si="30"/>
        <v>239.8</v>
      </c>
      <c r="T108" s="111">
        <f t="shared" si="30"/>
        <v>95.3</v>
      </c>
      <c r="U108" s="111">
        <f t="shared" si="30"/>
        <v>95.3</v>
      </c>
      <c r="V108" s="111">
        <f t="shared" si="30"/>
        <v>275.10000000000002</v>
      </c>
      <c r="W108" s="111">
        <f t="shared" si="30"/>
        <v>284.3</v>
      </c>
      <c r="X108" s="111">
        <f t="shared" si="30"/>
        <v>300.60000000000002</v>
      </c>
      <c r="Y108" s="111">
        <f t="shared" si="30"/>
        <v>354.8</v>
      </c>
      <c r="Z108" s="111">
        <f t="shared" si="30"/>
        <v>362.1</v>
      </c>
      <c r="AA108" s="111">
        <f t="shared" si="30"/>
        <v>332.8</v>
      </c>
      <c r="AB108" s="111">
        <f t="shared" si="30"/>
        <v>302.39999999999998</v>
      </c>
      <c r="AC108" s="111">
        <f t="shared" si="30"/>
        <v>286.5</v>
      </c>
      <c r="AD108" s="111">
        <f t="shared" si="30"/>
        <v>235</v>
      </c>
      <c r="AE108" s="111">
        <f t="shared" si="30"/>
        <v>182.1</v>
      </c>
      <c r="AF108" s="111">
        <f t="shared" si="30"/>
        <v>149.1</v>
      </c>
      <c r="AG108" s="112"/>
      <c r="AH108" s="47">
        <f t="shared" si="17"/>
        <v>362.1</v>
      </c>
      <c r="AI108" s="48">
        <f t="shared" si="18"/>
        <v>42</v>
      </c>
    </row>
    <row r="109" spans="1:37" x14ac:dyDescent="0.25">
      <c r="A109" s="100" t="s">
        <v>113</v>
      </c>
      <c r="B109" s="113">
        <v>-18.5</v>
      </c>
      <c r="C109" s="113">
        <v>-21.9</v>
      </c>
      <c r="D109" s="113">
        <v>-20.3</v>
      </c>
      <c r="E109" s="113">
        <v>-22.3</v>
      </c>
      <c r="F109" s="113">
        <v>-19.2</v>
      </c>
      <c r="G109" s="113">
        <v>-13.7</v>
      </c>
      <c r="H109" s="113">
        <v>-13.7</v>
      </c>
      <c r="I109" s="113">
        <v>0</v>
      </c>
      <c r="J109" s="113">
        <v>-1.3</v>
      </c>
      <c r="K109" s="113">
        <v>24.39</v>
      </c>
      <c r="L109" s="113">
        <v>24.9</v>
      </c>
      <c r="M109" s="113">
        <v>23</v>
      </c>
      <c r="N109" s="113">
        <v>13.8</v>
      </c>
      <c r="O109" s="113">
        <v>14.6</v>
      </c>
      <c r="P109" s="113">
        <v>14.6</v>
      </c>
      <c r="Q109" s="113">
        <v>-1.2</v>
      </c>
      <c r="R109" s="113">
        <v>-12.2</v>
      </c>
      <c r="S109" s="113">
        <v>-12.1</v>
      </c>
      <c r="T109" s="113"/>
      <c r="U109" s="113"/>
      <c r="V109" s="113">
        <v>-10.199999999999999</v>
      </c>
      <c r="W109" s="113">
        <v>-2.2000000000000002</v>
      </c>
      <c r="X109" s="113">
        <v>-0.9</v>
      </c>
      <c r="Y109" s="113">
        <v>21</v>
      </c>
      <c r="Z109" s="113">
        <v>18.3</v>
      </c>
      <c r="AA109" s="113">
        <v>21</v>
      </c>
      <c r="AB109" s="113">
        <v>11.8</v>
      </c>
      <c r="AC109" s="113">
        <v>10.199999999999999</v>
      </c>
      <c r="AD109" s="113">
        <v>5.7</v>
      </c>
      <c r="AE109" s="113">
        <v>-2.4</v>
      </c>
      <c r="AF109" s="113">
        <v>-21.1</v>
      </c>
      <c r="AG109" s="114">
        <v>75</v>
      </c>
      <c r="AH109" s="47">
        <f t="shared" si="17"/>
        <v>24.9</v>
      </c>
      <c r="AI109" s="48">
        <f t="shared" si="18"/>
        <v>-22.3</v>
      </c>
    </row>
    <row r="110" spans="1:37" x14ac:dyDescent="0.25">
      <c r="A110" s="103" t="s">
        <v>114</v>
      </c>
      <c r="B110" s="115">
        <v>-24.5</v>
      </c>
      <c r="C110" s="115">
        <v>26.8</v>
      </c>
      <c r="D110" s="115">
        <v>-23.8</v>
      </c>
      <c r="E110" s="115">
        <v>-28.4</v>
      </c>
      <c r="F110" s="115">
        <v>-22.5</v>
      </c>
      <c r="G110" s="115">
        <v>-17.2</v>
      </c>
      <c r="H110" s="115">
        <v>-17.2</v>
      </c>
      <c r="I110" s="115">
        <v>0</v>
      </c>
      <c r="J110" s="115">
        <v>2.2999999999999998</v>
      </c>
      <c r="K110" s="115">
        <v>24.8</v>
      </c>
      <c r="L110" s="115">
        <v>25.2</v>
      </c>
      <c r="M110" s="115">
        <v>22.5</v>
      </c>
      <c r="N110" s="115">
        <v>9.9</v>
      </c>
      <c r="O110" s="115">
        <v>13.4</v>
      </c>
      <c r="P110" s="115">
        <v>13.4</v>
      </c>
      <c r="Q110" s="115">
        <v>-1.8</v>
      </c>
      <c r="R110" s="115">
        <v>-18.100000000000001</v>
      </c>
      <c r="S110" s="115">
        <v>-17.399999999999999</v>
      </c>
      <c r="T110" s="115"/>
      <c r="U110" s="115"/>
      <c r="V110" s="115">
        <v>-13.5</v>
      </c>
      <c r="W110" s="115">
        <v>-8.3000000000000007</v>
      </c>
      <c r="X110" s="115">
        <v>-8.3000000000000007</v>
      </c>
      <c r="Y110" s="115">
        <v>19</v>
      </c>
      <c r="Z110" s="115">
        <v>16</v>
      </c>
      <c r="AA110" s="115">
        <v>19</v>
      </c>
      <c r="AB110" s="115">
        <v>8</v>
      </c>
      <c r="AC110" s="115">
        <v>5.6</v>
      </c>
      <c r="AD110" s="115">
        <v>2.4</v>
      </c>
      <c r="AE110" s="115">
        <v>-5.0999999999999996</v>
      </c>
      <c r="AF110" s="115">
        <v>-25.9</v>
      </c>
      <c r="AG110" s="114">
        <v>240</v>
      </c>
      <c r="AH110" s="47">
        <f t="shared" si="17"/>
        <v>26.8</v>
      </c>
      <c r="AI110" s="48">
        <f t="shared" si="18"/>
        <v>-28.4</v>
      </c>
    </row>
    <row r="111" spans="1:37" x14ac:dyDescent="0.25">
      <c r="A111" s="103" t="s">
        <v>115</v>
      </c>
      <c r="B111" s="115">
        <v>-0.9</v>
      </c>
      <c r="C111" s="115">
        <f>-1.7-1.9</f>
        <v>-3.5999999999999996</v>
      </c>
      <c r="D111" s="115">
        <f>-3.1-3.5</f>
        <v>-6.6</v>
      </c>
      <c r="E111" s="115">
        <f t="shared" ref="E111:F111" si="32">-3.1-3.5</f>
        <v>-6.6</v>
      </c>
      <c r="F111" s="115">
        <f t="shared" si="32"/>
        <v>-6.6</v>
      </c>
      <c r="G111" s="115">
        <f>2+2.6</f>
        <v>4.5999999999999996</v>
      </c>
      <c r="H111" s="115">
        <f t="shared" ref="H111" si="33">2+2.6</f>
        <v>4.5999999999999996</v>
      </c>
      <c r="I111" s="115">
        <f>11.3+12.5</f>
        <v>23.8</v>
      </c>
      <c r="J111" s="115">
        <f>16+17</f>
        <v>33</v>
      </c>
      <c r="K111" s="115">
        <f>13.9+19.9</f>
        <v>33.799999999999997</v>
      </c>
      <c r="L111" s="115">
        <f>18.5+19.7</f>
        <v>38.200000000000003</v>
      </c>
      <c r="M111" s="115">
        <v>41</v>
      </c>
      <c r="N111" s="115">
        <f>28+27</f>
        <v>55</v>
      </c>
      <c r="O111" s="115">
        <v>33</v>
      </c>
      <c r="P111" s="115">
        <v>33</v>
      </c>
      <c r="Q111" s="115">
        <v>27</v>
      </c>
      <c r="R111" s="115">
        <f>18+15</f>
        <v>33</v>
      </c>
      <c r="S111" s="115">
        <v>30</v>
      </c>
      <c r="T111" s="115"/>
      <c r="U111" s="115"/>
      <c r="V111" s="115">
        <v>42</v>
      </c>
      <c r="W111" s="115">
        <v>48</v>
      </c>
      <c r="X111" s="115">
        <v>55</v>
      </c>
      <c r="Y111" s="115">
        <v>71</v>
      </c>
      <c r="Z111" s="115">
        <v>73</v>
      </c>
      <c r="AA111" s="115">
        <v>67</v>
      </c>
      <c r="AB111" s="115">
        <v>49</v>
      </c>
      <c r="AC111" s="115">
        <v>41</v>
      </c>
      <c r="AD111" s="115">
        <v>17.2</v>
      </c>
      <c r="AE111" s="115">
        <v>2.6</v>
      </c>
      <c r="AF111" s="115">
        <v>4.0999999999999996</v>
      </c>
      <c r="AG111" s="114">
        <v>240</v>
      </c>
      <c r="AH111" s="47">
        <f t="shared" si="17"/>
        <v>73</v>
      </c>
      <c r="AI111" s="48">
        <f t="shared" si="18"/>
        <v>-6.6</v>
      </c>
    </row>
    <row r="112" spans="1:37" x14ac:dyDescent="0.25">
      <c r="A112" s="103" t="s">
        <v>116</v>
      </c>
      <c r="B112" s="115">
        <v>2.2000000000000002</v>
      </c>
      <c r="C112" s="115">
        <v>0.2</v>
      </c>
      <c r="D112" s="115">
        <v>-0.4</v>
      </c>
      <c r="E112" s="115">
        <v>-0.4</v>
      </c>
      <c r="F112" s="115">
        <v>-0.4</v>
      </c>
      <c r="G112" s="115">
        <v>2.9</v>
      </c>
      <c r="H112" s="115">
        <v>2.9</v>
      </c>
      <c r="I112" s="115">
        <v>10.4</v>
      </c>
      <c r="J112" s="115">
        <v>10.7</v>
      </c>
      <c r="K112" s="115">
        <v>17.8</v>
      </c>
      <c r="L112" s="115">
        <v>29.6</v>
      </c>
      <c r="M112" s="115">
        <v>28.2</v>
      </c>
      <c r="N112" s="115">
        <v>28.8</v>
      </c>
      <c r="O112" s="115">
        <v>11.8</v>
      </c>
      <c r="P112" s="115">
        <v>11.8</v>
      </c>
      <c r="Q112" s="115">
        <v>23.4</v>
      </c>
      <c r="R112" s="115">
        <v>27</v>
      </c>
      <c r="S112" s="115">
        <v>31</v>
      </c>
      <c r="T112" s="115"/>
      <c r="U112" s="115"/>
      <c r="V112" s="115">
        <v>49</v>
      </c>
      <c r="W112" s="115">
        <v>43</v>
      </c>
      <c r="X112" s="115">
        <v>46</v>
      </c>
      <c r="Y112" s="115">
        <v>46</v>
      </c>
      <c r="Z112" s="115">
        <v>49</v>
      </c>
      <c r="AA112" s="115">
        <v>36</v>
      </c>
      <c r="AB112" s="115">
        <v>27</v>
      </c>
      <c r="AC112" s="115">
        <v>25.4</v>
      </c>
      <c r="AD112" s="115">
        <v>11.7</v>
      </c>
      <c r="AE112" s="115">
        <v>6</v>
      </c>
      <c r="AF112" s="115">
        <v>4.9000000000000004</v>
      </c>
      <c r="AG112" s="114">
        <v>60</v>
      </c>
      <c r="AH112" s="47">
        <f t="shared" si="17"/>
        <v>49</v>
      </c>
      <c r="AI112" s="48">
        <f t="shared" si="18"/>
        <v>-0.4</v>
      </c>
    </row>
    <row r="113" spans="1:37" x14ac:dyDescent="0.25">
      <c r="A113" s="116" t="s">
        <v>117</v>
      </c>
      <c r="B113" s="117">
        <v>80.400000000000006</v>
      </c>
      <c r="C113" s="117">
        <v>73.5</v>
      </c>
      <c r="D113" s="117">
        <v>68.900000000000006</v>
      </c>
      <c r="E113" s="117">
        <v>68.900000000000006</v>
      </c>
      <c r="F113" s="117">
        <v>68.900000000000006</v>
      </c>
      <c r="G113" s="117">
        <v>82</v>
      </c>
      <c r="H113" s="117">
        <v>82</v>
      </c>
      <c r="I113" s="117">
        <v>100</v>
      </c>
      <c r="J113" s="117">
        <v>120</v>
      </c>
      <c r="K113" s="117">
        <v>114</v>
      </c>
      <c r="L113" s="117">
        <v>118</v>
      </c>
      <c r="M113" s="117">
        <v>107.7</v>
      </c>
      <c r="N113" s="117">
        <v>102</v>
      </c>
      <c r="O113" s="117">
        <v>108.1</v>
      </c>
      <c r="P113" s="117">
        <v>108.1</v>
      </c>
      <c r="Q113" s="117">
        <v>109</v>
      </c>
      <c r="R113" s="117">
        <v>114</v>
      </c>
      <c r="S113" s="117">
        <v>113</v>
      </c>
      <c r="T113" s="117"/>
      <c r="U113" s="117"/>
      <c r="V113" s="117">
        <v>104</v>
      </c>
      <c r="W113" s="117">
        <v>100</v>
      </c>
      <c r="X113" s="117">
        <v>113</v>
      </c>
      <c r="Y113" s="117">
        <v>102</v>
      </c>
      <c r="Z113" s="117">
        <v>110</v>
      </c>
      <c r="AA113" s="117">
        <v>94</v>
      </c>
      <c r="AB113" s="117">
        <v>110.9</v>
      </c>
      <c r="AC113" s="117">
        <v>108.6</v>
      </c>
      <c r="AD113" s="117">
        <v>102.3</v>
      </c>
      <c r="AE113" s="117">
        <v>85.3</v>
      </c>
      <c r="AF113" s="117">
        <v>91.4</v>
      </c>
      <c r="AG113" s="118">
        <v>120</v>
      </c>
      <c r="AH113" s="47">
        <f t="shared" si="17"/>
        <v>120</v>
      </c>
      <c r="AI113" s="48">
        <f t="shared" si="18"/>
        <v>68.900000000000006</v>
      </c>
    </row>
    <row r="114" spans="1:37" x14ac:dyDescent="0.25">
      <c r="A114" s="116" t="s">
        <v>118</v>
      </c>
      <c r="B114" s="117">
        <v>70.8</v>
      </c>
      <c r="C114" s="117">
        <v>68.8</v>
      </c>
      <c r="D114" s="117">
        <v>64.3</v>
      </c>
      <c r="E114" s="117">
        <v>64.3</v>
      </c>
      <c r="F114" s="117">
        <v>64.3</v>
      </c>
      <c r="G114" s="117">
        <v>74.8</v>
      </c>
      <c r="H114" s="117">
        <v>74.8</v>
      </c>
      <c r="I114" s="117">
        <v>82</v>
      </c>
      <c r="J114" s="117">
        <v>94</v>
      </c>
      <c r="K114" s="117">
        <v>82.9</v>
      </c>
      <c r="L114" s="117">
        <v>84.2</v>
      </c>
      <c r="M114" s="117">
        <v>86</v>
      </c>
      <c r="N114" s="117">
        <v>86</v>
      </c>
      <c r="O114" s="117">
        <v>79.400000000000006</v>
      </c>
      <c r="P114" s="117">
        <v>79.400000000000006</v>
      </c>
      <c r="Q114" s="117">
        <v>89.3</v>
      </c>
      <c r="R114" s="117">
        <v>95</v>
      </c>
      <c r="S114" s="117">
        <v>91</v>
      </c>
      <c r="T114" s="117"/>
      <c r="U114" s="117"/>
      <c r="V114" s="117">
        <v>85</v>
      </c>
      <c r="W114" s="117">
        <v>82</v>
      </c>
      <c r="X114" s="117">
        <v>88</v>
      </c>
      <c r="Y114" s="117">
        <v>88</v>
      </c>
      <c r="Z114" s="117">
        <v>90</v>
      </c>
      <c r="AA114" s="117">
        <v>94</v>
      </c>
      <c r="AB114" s="117">
        <v>84.5</v>
      </c>
      <c r="AC114" s="117">
        <v>82</v>
      </c>
      <c r="AD114" s="117">
        <v>82.3</v>
      </c>
      <c r="AE114" s="117">
        <v>68.3</v>
      </c>
      <c r="AF114" s="117">
        <v>79.2</v>
      </c>
      <c r="AG114" s="118"/>
      <c r="AH114" s="47">
        <f t="shared" si="17"/>
        <v>95</v>
      </c>
      <c r="AI114" s="48">
        <f t="shared" si="18"/>
        <v>64.3</v>
      </c>
    </row>
    <row r="115" spans="1:37" x14ac:dyDescent="0.25">
      <c r="A115" s="116" t="s">
        <v>119</v>
      </c>
      <c r="B115" s="117"/>
      <c r="C115" s="117">
        <v>40.799999999999997</v>
      </c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>
        <v>33</v>
      </c>
      <c r="W115" s="117"/>
      <c r="X115" s="117"/>
      <c r="Y115" s="117"/>
      <c r="Z115" s="117"/>
      <c r="AA115" s="117"/>
      <c r="AB115" s="117">
        <v>18.7</v>
      </c>
      <c r="AC115" s="117">
        <v>26.1</v>
      </c>
      <c r="AD115" s="117">
        <v>30.9</v>
      </c>
      <c r="AE115" s="117"/>
      <c r="AF115" s="117">
        <v>18.3</v>
      </c>
      <c r="AG115" s="119"/>
      <c r="AH115" s="47">
        <f t="shared" si="17"/>
        <v>40.799999999999997</v>
      </c>
      <c r="AI115" s="48">
        <f t="shared" si="18"/>
        <v>18.3</v>
      </c>
    </row>
    <row r="116" spans="1:37" x14ac:dyDescent="0.25">
      <c r="A116" s="120" t="s">
        <v>120</v>
      </c>
      <c r="B116" s="106">
        <v>5.2</v>
      </c>
      <c r="C116" s="106">
        <v>9.3000000000000007</v>
      </c>
      <c r="D116" s="106">
        <v>10.1</v>
      </c>
      <c r="E116" s="106">
        <v>14</v>
      </c>
      <c r="F116" s="106">
        <v>11</v>
      </c>
      <c r="G116" s="106">
        <v>7.7</v>
      </c>
      <c r="H116" s="106">
        <v>7.7</v>
      </c>
      <c r="I116" s="106">
        <v>-21.6</v>
      </c>
      <c r="J116" s="106">
        <v>7.7</v>
      </c>
      <c r="K116" s="106">
        <v>-37.799999999999997</v>
      </c>
      <c r="L116" s="106">
        <v>-49.4</v>
      </c>
      <c r="M116" s="106">
        <v>-51.8</v>
      </c>
      <c r="N116" s="106">
        <v>-45.4</v>
      </c>
      <c r="O116" s="106">
        <v>-36.1</v>
      </c>
      <c r="P116" s="106">
        <v>-36.1</v>
      </c>
      <c r="Q116" s="106">
        <v>-26.8</v>
      </c>
      <c r="R116" s="106">
        <v>-29</v>
      </c>
      <c r="S116" s="106">
        <v>-41</v>
      </c>
      <c r="T116" s="106"/>
      <c r="U116" s="106"/>
      <c r="V116" s="106">
        <v>-27</v>
      </c>
      <c r="W116" s="106">
        <v>-35</v>
      </c>
      <c r="X116" s="106">
        <v>-60</v>
      </c>
      <c r="Y116" s="106">
        <v>-63</v>
      </c>
      <c r="Z116" s="106">
        <v>-57</v>
      </c>
      <c r="AA116" s="106">
        <v>-45</v>
      </c>
      <c r="AB116" s="106">
        <v>-24.8</v>
      </c>
      <c r="AC116" s="106">
        <v>-18.8</v>
      </c>
      <c r="AD116" s="106">
        <v>-3.6</v>
      </c>
      <c r="AE116" s="106">
        <v>10.5</v>
      </c>
      <c r="AF116" s="106">
        <v>17.600000000000001</v>
      </c>
      <c r="AG116" s="119"/>
      <c r="AH116" s="47">
        <f t="shared" si="17"/>
        <v>17.600000000000001</v>
      </c>
      <c r="AI116" s="48">
        <f t="shared" si="18"/>
        <v>-63</v>
      </c>
    </row>
    <row r="117" spans="1:37" ht="15.75" thickBot="1" x14ac:dyDescent="0.3">
      <c r="A117" s="120" t="s">
        <v>121</v>
      </c>
      <c r="B117" s="106">
        <v>67.7</v>
      </c>
      <c r="C117" s="106">
        <v>68.7</v>
      </c>
      <c r="D117" s="106">
        <v>65.400000000000006</v>
      </c>
      <c r="E117" s="106">
        <v>65.400000000000006</v>
      </c>
      <c r="F117" s="106">
        <v>64.5</v>
      </c>
      <c r="G117" s="106">
        <v>63.3</v>
      </c>
      <c r="H117" s="106">
        <v>63.3</v>
      </c>
      <c r="I117" s="106">
        <v>70.099999999999994</v>
      </c>
      <c r="J117" s="106">
        <v>63.3</v>
      </c>
      <c r="K117" s="106">
        <v>71</v>
      </c>
      <c r="L117" s="106">
        <v>73.5</v>
      </c>
      <c r="M117" s="106">
        <v>82.2</v>
      </c>
      <c r="N117" s="106">
        <v>96.5</v>
      </c>
      <c r="O117" s="106">
        <v>95.4</v>
      </c>
      <c r="P117" s="106">
        <v>95.4</v>
      </c>
      <c r="Q117" s="106">
        <v>92.2</v>
      </c>
      <c r="R117" s="106">
        <v>80</v>
      </c>
      <c r="S117" s="106">
        <v>94</v>
      </c>
      <c r="T117" s="106"/>
      <c r="U117" s="106"/>
      <c r="V117" s="106">
        <v>85</v>
      </c>
      <c r="W117" s="106">
        <v>65</v>
      </c>
      <c r="X117" s="106">
        <v>75</v>
      </c>
      <c r="Y117" s="106">
        <v>86</v>
      </c>
      <c r="Z117" s="106">
        <v>85</v>
      </c>
      <c r="AA117" s="106">
        <v>71</v>
      </c>
      <c r="AB117" s="106">
        <v>70.05</v>
      </c>
      <c r="AC117" s="106">
        <v>81.7</v>
      </c>
      <c r="AD117" s="106">
        <v>81</v>
      </c>
      <c r="AE117" s="106">
        <v>68.7</v>
      </c>
      <c r="AF117" s="106">
        <v>63.7</v>
      </c>
      <c r="AG117" s="119"/>
      <c r="AH117" s="47">
        <f t="shared" si="17"/>
        <v>96.5</v>
      </c>
      <c r="AI117" s="48">
        <f t="shared" si="18"/>
        <v>63.3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34">SUM(B119:B223)</f>
        <v>0</v>
      </c>
      <c r="C224" s="136">
        <f t="shared" si="34"/>
        <v>0</v>
      </c>
      <c r="D224" s="136">
        <f t="shared" si="34"/>
        <v>0</v>
      </c>
      <c r="E224" s="136">
        <f t="shared" si="34"/>
        <v>0</v>
      </c>
      <c r="F224" s="136">
        <f t="shared" si="34"/>
        <v>0</v>
      </c>
      <c r="G224" s="136">
        <f t="shared" si="34"/>
        <v>0</v>
      </c>
      <c r="H224" s="136">
        <f t="shared" si="34"/>
        <v>0</v>
      </c>
      <c r="I224" s="136">
        <f t="shared" si="34"/>
        <v>0</v>
      </c>
      <c r="J224" s="136">
        <f t="shared" si="34"/>
        <v>0</v>
      </c>
      <c r="K224" s="136">
        <f t="shared" si="34"/>
        <v>0</v>
      </c>
      <c r="L224" s="136">
        <f t="shared" si="34"/>
        <v>0</v>
      </c>
      <c r="M224" s="136">
        <f t="shared" si="34"/>
        <v>0</v>
      </c>
      <c r="N224" s="136">
        <f t="shared" si="34"/>
        <v>0</v>
      </c>
      <c r="O224" s="136">
        <f t="shared" si="34"/>
        <v>0</v>
      </c>
      <c r="P224" s="136">
        <f t="shared" si="34"/>
        <v>0</v>
      </c>
      <c r="Q224" s="136">
        <f t="shared" si="34"/>
        <v>0</v>
      </c>
      <c r="R224" s="136">
        <f t="shared" si="34"/>
        <v>0</v>
      </c>
      <c r="S224" s="136">
        <f t="shared" si="34"/>
        <v>0</v>
      </c>
      <c r="T224" s="136">
        <f t="shared" si="34"/>
        <v>0</v>
      </c>
      <c r="U224" s="136">
        <f t="shared" si="34"/>
        <v>0</v>
      </c>
      <c r="V224" s="136">
        <f t="shared" si="34"/>
        <v>0</v>
      </c>
      <c r="W224" s="136">
        <f t="shared" si="34"/>
        <v>0</v>
      </c>
      <c r="X224" s="136">
        <f t="shared" si="34"/>
        <v>0</v>
      </c>
      <c r="Y224" s="136">
        <f t="shared" si="34"/>
        <v>0</v>
      </c>
      <c r="Z224" s="136">
        <f t="shared" si="34"/>
        <v>0</v>
      </c>
      <c r="AA224" s="136">
        <f t="shared" si="34"/>
        <v>0</v>
      </c>
      <c r="AB224" s="136">
        <f t="shared" si="34"/>
        <v>0</v>
      </c>
      <c r="AC224" s="136">
        <f t="shared" si="34"/>
        <v>0</v>
      </c>
      <c r="AD224" s="136">
        <f t="shared" si="34"/>
        <v>0</v>
      </c>
      <c r="AE224" s="136">
        <f t="shared" si="34"/>
        <v>0</v>
      </c>
      <c r="AF224" s="137">
        <f t="shared" si="34"/>
        <v>0</v>
      </c>
      <c r="AG224" s="138">
        <f t="shared" si="34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35">AF226</f>
        <v>0</v>
      </c>
      <c r="C226" s="140">
        <v>0.3</v>
      </c>
      <c r="D226" s="140">
        <f t="shared" ref="D226:P231" si="36">C226</f>
        <v>0.3</v>
      </c>
      <c r="E226" s="140">
        <f t="shared" si="36"/>
        <v>0.3</v>
      </c>
      <c r="F226" s="140">
        <f t="shared" si="36"/>
        <v>0.3</v>
      </c>
      <c r="G226" s="140">
        <f t="shared" si="36"/>
        <v>0.3</v>
      </c>
      <c r="H226" s="140">
        <f t="shared" si="36"/>
        <v>0.3</v>
      </c>
      <c r="I226" s="140">
        <f t="shared" si="36"/>
        <v>0.3</v>
      </c>
      <c r="J226" s="140">
        <f t="shared" si="36"/>
        <v>0.3</v>
      </c>
      <c r="K226" s="140">
        <f t="shared" si="36"/>
        <v>0.3</v>
      </c>
      <c r="L226" s="140">
        <f t="shared" si="36"/>
        <v>0.3</v>
      </c>
      <c r="M226" s="140">
        <f t="shared" si="36"/>
        <v>0.3</v>
      </c>
      <c r="N226" s="140">
        <f t="shared" si="36"/>
        <v>0.3</v>
      </c>
      <c r="O226" s="140">
        <f t="shared" si="36"/>
        <v>0.3</v>
      </c>
      <c r="P226" s="140">
        <f t="shared" si="36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35"/>
        <v>0</v>
      </c>
      <c r="C227" s="128">
        <v>0.4</v>
      </c>
      <c r="D227" s="128">
        <f t="shared" si="36"/>
        <v>0.4</v>
      </c>
      <c r="E227" s="128">
        <f t="shared" si="36"/>
        <v>0.4</v>
      </c>
      <c r="F227" s="128">
        <f t="shared" si="36"/>
        <v>0.4</v>
      </c>
      <c r="G227" s="128">
        <f t="shared" si="36"/>
        <v>0.4</v>
      </c>
      <c r="H227" s="128">
        <f t="shared" si="36"/>
        <v>0.4</v>
      </c>
      <c r="I227" s="128">
        <f t="shared" si="36"/>
        <v>0.4</v>
      </c>
      <c r="J227" s="128">
        <f t="shared" si="36"/>
        <v>0.4</v>
      </c>
      <c r="K227" s="128">
        <f t="shared" si="36"/>
        <v>0.4</v>
      </c>
      <c r="L227" s="128">
        <f t="shared" si="36"/>
        <v>0.4</v>
      </c>
      <c r="M227" s="128">
        <f t="shared" si="36"/>
        <v>0.4</v>
      </c>
      <c r="N227" s="128">
        <f t="shared" si="36"/>
        <v>0.4</v>
      </c>
      <c r="O227" s="128">
        <f t="shared" si="36"/>
        <v>0.4</v>
      </c>
      <c r="P227" s="128">
        <f t="shared" si="36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35"/>
        <v>0</v>
      </c>
      <c r="C228" s="128">
        <v>1.5</v>
      </c>
      <c r="D228" s="128">
        <f t="shared" si="36"/>
        <v>1.5</v>
      </c>
      <c r="E228" s="128">
        <f t="shared" si="36"/>
        <v>1.5</v>
      </c>
      <c r="F228" s="128">
        <f t="shared" si="36"/>
        <v>1.5</v>
      </c>
      <c r="G228" s="128">
        <f t="shared" si="36"/>
        <v>1.5</v>
      </c>
      <c r="H228" s="128">
        <f t="shared" si="36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36"/>
        <v>1.5</v>
      </c>
      <c r="K228" s="128">
        <f t="shared" ca="1" si="36"/>
        <v>1.5</v>
      </c>
      <c r="L228" s="128">
        <f t="shared" ca="1" si="36"/>
        <v>1.5</v>
      </c>
      <c r="M228" s="128">
        <f t="shared" ca="1" si="36"/>
        <v>1.5</v>
      </c>
      <c r="N228" s="128">
        <f t="shared" ca="1" si="36"/>
        <v>1.5</v>
      </c>
      <c r="O228" s="128">
        <f t="shared" ca="1" si="36"/>
        <v>1.5</v>
      </c>
      <c r="P228" s="128">
        <f t="shared" ca="1" si="36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35"/>
        <v>0</v>
      </c>
      <c r="C229" s="128">
        <v>0.3</v>
      </c>
      <c r="D229" s="128">
        <f t="shared" si="36"/>
        <v>0.3</v>
      </c>
      <c r="E229" s="128">
        <f t="shared" si="36"/>
        <v>0.3</v>
      </c>
      <c r="F229" s="128">
        <f t="shared" si="36"/>
        <v>0.3</v>
      </c>
      <c r="G229" s="128">
        <f t="shared" si="36"/>
        <v>0.3</v>
      </c>
      <c r="H229" s="128">
        <f t="shared" si="36"/>
        <v>0.3</v>
      </c>
      <c r="I229" s="128">
        <f t="shared" si="36"/>
        <v>0.3</v>
      </c>
      <c r="J229" s="128">
        <f t="shared" si="36"/>
        <v>0.3</v>
      </c>
      <c r="K229" s="128">
        <f t="shared" si="36"/>
        <v>0.3</v>
      </c>
      <c r="L229" s="128">
        <f t="shared" si="36"/>
        <v>0.3</v>
      </c>
      <c r="M229" s="128">
        <f t="shared" si="36"/>
        <v>0.3</v>
      </c>
      <c r="N229" s="128">
        <f t="shared" si="36"/>
        <v>0.3</v>
      </c>
      <c r="O229" s="128">
        <f t="shared" si="36"/>
        <v>0.3</v>
      </c>
      <c r="P229" s="128">
        <f t="shared" si="36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35"/>
        <v>0</v>
      </c>
      <c r="C230" s="128">
        <v>0.4</v>
      </c>
      <c r="D230" s="128">
        <f t="shared" si="36"/>
        <v>0.4</v>
      </c>
      <c r="E230" s="128">
        <f t="shared" si="36"/>
        <v>0.4</v>
      </c>
      <c r="F230" s="128">
        <f t="shared" si="36"/>
        <v>0.4</v>
      </c>
      <c r="G230" s="128">
        <f t="shared" si="36"/>
        <v>0.4</v>
      </c>
      <c r="H230" s="128">
        <f t="shared" si="36"/>
        <v>0.4</v>
      </c>
      <c r="I230" s="128">
        <f t="shared" si="36"/>
        <v>0.4</v>
      </c>
      <c r="J230" s="128">
        <f t="shared" si="36"/>
        <v>0.4</v>
      </c>
      <c r="K230" s="128">
        <f t="shared" si="36"/>
        <v>0.4</v>
      </c>
      <c r="L230" s="128">
        <f t="shared" si="36"/>
        <v>0.4</v>
      </c>
      <c r="M230" s="128">
        <f t="shared" si="36"/>
        <v>0.4</v>
      </c>
      <c r="N230" s="128">
        <f t="shared" si="36"/>
        <v>0.4</v>
      </c>
      <c r="O230" s="128">
        <f t="shared" si="36"/>
        <v>0.4</v>
      </c>
      <c r="P230" s="128">
        <f t="shared" si="3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35"/>
        <v>0</v>
      </c>
      <c r="C231" s="132">
        <v>0.64</v>
      </c>
      <c r="D231" s="132">
        <f t="shared" si="36"/>
        <v>0.64</v>
      </c>
      <c r="E231" s="132">
        <f t="shared" si="36"/>
        <v>0.64</v>
      </c>
      <c r="F231" s="132">
        <f t="shared" si="36"/>
        <v>0.64</v>
      </c>
      <c r="G231" s="132">
        <f t="shared" si="36"/>
        <v>0.64</v>
      </c>
      <c r="H231" s="132">
        <f t="shared" si="36"/>
        <v>0.64</v>
      </c>
      <c r="I231" s="132">
        <f t="shared" si="36"/>
        <v>0.64</v>
      </c>
      <c r="J231" s="132">
        <f t="shared" si="36"/>
        <v>0.64</v>
      </c>
      <c r="K231" s="132">
        <f t="shared" si="36"/>
        <v>0.64</v>
      </c>
      <c r="L231" s="132">
        <f t="shared" si="36"/>
        <v>0.64</v>
      </c>
      <c r="M231" s="132">
        <f t="shared" si="36"/>
        <v>0.64</v>
      </c>
      <c r="N231" s="132">
        <f t="shared" si="36"/>
        <v>0.64</v>
      </c>
      <c r="O231" s="132">
        <f t="shared" si="36"/>
        <v>0.64</v>
      </c>
      <c r="P231" s="132">
        <f t="shared" si="36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7">SUM(B226:B231)</f>
        <v>0</v>
      </c>
      <c r="C232" s="136">
        <f t="shared" si="37"/>
        <v>3.54</v>
      </c>
      <c r="D232" s="136">
        <f t="shared" si="37"/>
        <v>3.54</v>
      </c>
      <c r="E232" s="136">
        <f t="shared" si="37"/>
        <v>3.54</v>
      </c>
      <c r="F232" s="136">
        <f t="shared" si="37"/>
        <v>3.54</v>
      </c>
      <c r="G232" s="136">
        <f t="shared" si="37"/>
        <v>3.54</v>
      </c>
      <c r="H232" s="136">
        <f t="shared" si="37"/>
        <v>3.54</v>
      </c>
      <c r="I232" s="136">
        <f t="shared" ca="1" si="37"/>
        <v>3.54</v>
      </c>
      <c r="J232" s="136">
        <f t="shared" ca="1" si="37"/>
        <v>3.54</v>
      </c>
      <c r="K232" s="136">
        <f t="shared" ca="1" si="37"/>
        <v>3.54</v>
      </c>
      <c r="L232" s="136">
        <f t="shared" ca="1" si="37"/>
        <v>3.54</v>
      </c>
      <c r="M232" s="136">
        <f t="shared" ca="1" si="37"/>
        <v>3.54</v>
      </c>
      <c r="N232" s="136">
        <f t="shared" ca="1" si="37"/>
        <v>3.54</v>
      </c>
      <c r="O232" s="136">
        <f t="shared" ca="1" si="37"/>
        <v>3.54</v>
      </c>
      <c r="P232" s="136">
        <f t="shared" ca="1" si="37"/>
        <v>3.54</v>
      </c>
      <c r="Q232" s="136">
        <f t="shared" si="37"/>
        <v>0</v>
      </c>
      <c r="R232" s="136">
        <f t="shared" si="37"/>
        <v>0</v>
      </c>
      <c r="S232" s="136">
        <f t="shared" si="37"/>
        <v>0</v>
      </c>
      <c r="T232" s="136">
        <f t="shared" si="37"/>
        <v>0</v>
      </c>
      <c r="U232" s="136">
        <f t="shared" si="37"/>
        <v>0</v>
      </c>
      <c r="V232" s="136">
        <f t="shared" si="37"/>
        <v>0</v>
      </c>
      <c r="W232" s="136">
        <f t="shared" si="37"/>
        <v>0</v>
      </c>
      <c r="X232" s="136">
        <f t="shared" si="37"/>
        <v>0</v>
      </c>
      <c r="Y232" s="136">
        <f t="shared" si="37"/>
        <v>0</v>
      </c>
      <c r="Z232" s="136">
        <f t="shared" si="37"/>
        <v>0</v>
      </c>
      <c r="AA232" s="136">
        <f t="shared" si="37"/>
        <v>0</v>
      </c>
      <c r="AB232" s="136">
        <f t="shared" si="37"/>
        <v>0</v>
      </c>
      <c r="AC232" s="136">
        <f t="shared" si="37"/>
        <v>0</v>
      </c>
      <c r="AD232" s="136">
        <f t="shared" si="37"/>
        <v>0</v>
      </c>
      <c r="AE232" s="136">
        <f t="shared" si="37"/>
        <v>0</v>
      </c>
      <c r="AF232" s="136">
        <f t="shared" si="37"/>
        <v>0</v>
      </c>
      <c r="AG232" s="145">
        <f t="shared" si="37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1507.7399999999998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18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2079/11/18)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2079/11/18)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8">B89</f>
        <v>1065.04</v>
      </c>
      <c r="U246" s="170">
        <f t="shared" si="38"/>
        <v>1051.6399999999999</v>
      </c>
      <c r="V246" s="170">
        <f t="shared" si="38"/>
        <v>1022.1399999999999</v>
      </c>
      <c r="W246" s="170">
        <f t="shared" si="38"/>
        <v>1027.74</v>
      </c>
      <c r="X246" s="170">
        <f t="shared" si="38"/>
        <v>1030.74</v>
      </c>
      <c r="Y246" s="170">
        <f t="shared" si="38"/>
        <v>1054.24</v>
      </c>
      <c r="Z246" s="170">
        <f t="shared" si="38"/>
        <v>1103.24</v>
      </c>
      <c r="AA246" s="170">
        <f t="shared" si="38"/>
        <v>1187.24</v>
      </c>
      <c r="AB246" s="170">
        <f t="shared" si="38"/>
        <v>1330.24</v>
      </c>
      <c r="AC246" s="170">
        <f t="shared" si="38"/>
        <v>1464.34</v>
      </c>
      <c r="AD246" s="170">
        <f t="shared" si="38"/>
        <v>1507.7399999999998</v>
      </c>
      <c r="AE246" s="170">
        <f t="shared" si="38"/>
        <v>1493.3400000000001</v>
      </c>
      <c r="AF246" s="170">
        <f t="shared" si="38"/>
        <v>1422.54</v>
      </c>
      <c r="AG246" s="170">
        <f t="shared" si="38"/>
        <v>1355.94</v>
      </c>
      <c r="AH246" s="170">
        <f t="shared" si="38"/>
        <v>1377.44</v>
      </c>
      <c r="AI246" s="170">
        <f t="shared" si="38"/>
        <v>1328.1399999999999</v>
      </c>
      <c r="AJ246" s="170">
        <f t="shared" si="38"/>
        <v>1312.34</v>
      </c>
      <c r="AK246" s="170">
        <f t="shared" si="38"/>
        <v>1367.1399999999999</v>
      </c>
      <c r="AL246" s="170">
        <f t="shared" si="38"/>
        <v>1379.54</v>
      </c>
      <c r="AM246" s="170">
        <f t="shared" si="38"/>
        <v>1373.54</v>
      </c>
      <c r="AN246" s="170">
        <f t="shared" si="38"/>
        <v>1359.6399999999999</v>
      </c>
      <c r="AO246" s="170">
        <f t="shared" si="38"/>
        <v>1363.74</v>
      </c>
      <c r="AP246" s="170">
        <f t="shared" si="38"/>
        <v>1476.3400000000001</v>
      </c>
      <c r="AQ246" s="170">
        <f t="shared" si="38"/>
        <v>1603.54</v>
      </c>
      <c r="AR246" s="170">
        <f t="shared" si="38"/>
        <v>1583.6399999999999</v>
      </c>
      <c r="AS246" s="170">
        <f t="shared" si="38"/>
        <v>1485.84</v>
      </c>
      <c r="AT246" s="170">
        <f t="shared" si="38"/>
        <v>1365.3400000000001</v>
      </c>
      <c r="AU246" s="170">
        <f t="shared" si="38"/>
        <v>1359.94</v>
      </c>
      <c r="AV246" s="170">
        <f t="shared" si="38"/>
        <v>1304.44</v>
      </c>
      <c r="AW246" s="170">
        <f t="shared" si="38"/>
        <v>1132.54</v>
      </c>
      <c r="AX246" s="170">
        <f t="shared" si="38"/>
        <v>1077.24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9">C231</f>
        <v>0.64</v>
      </c>
      <c r="C267" s="173">
        <f t="shared" si="39"/>
        <v>0.64</v>
      </c>
      <c r="D267" s="173">
        <f t="shared" si="39"/>
        <v>0.64</v>
      </c>
      <c r="E267" s="173">
        <f t="shared" si="39"/>
        <v>0.64</v>
      </c>
      <c r="F267" s="173">
        <f t="shared" si="39"/>
        <v>0.64</v>
      </c>
      <c r="G267" s="173">
        <f t="shared" si="39"/>
        <v>0.64</v>
      </c>
      <c r="H267" s="173">
        <f t="shared" si="39"/>
        <v>0.64</v>
      </c>
      <c r="I267" s="173">
        <f t="shared" si="39"/>
        <v>0.64</v>
      </c>
      <c r="J267" s="173">
        <f t="shared" si="39"/>
        <v>0.64</v>
      </c>
      <c r="K267" s="173">
        <f t="shared" si="39"/>
        <v>0.64</v>
      </c>
      <c r="L267" s="173">
        <f t="shared" si="39"/>
        <v>0.64</v>
      </c>
      <c r="M267" s="173">
        <f t="shared" si="39"/>
        <v>0.64</v>
      </c>
      <c r="N267" s="173">
        <f t="shared" si="39"/>
        <v>0.64</v>
      </c>
      <c r="O267" s="173">
        <f t="shared" si="39"/>
        <v>0.64</v>
      </c>
      <c r="P267" s="173">
        <f t="shared" si="39"/>
        <v>0</v>
      </c>
      <c r="Q267" s="173">
        <f t="shared" si="39"/>
        <v>0</v>
      </c>
      <c r="R267" s="173">
        <f t="shared" si="39"/>
        <v>0</v>
      </c>
      <c r="S267" s="173">
        <f t="shared" si="39"/>
        <v>0</v>
      </c>
      <c r="T267" s="173">
        <f t="shared" si="39"/>
        <v>0</v>
      </c>
      <c r="U267" s="173">
        <f t="shared" si="39"/>
        <v>0</v>
      </c>
      <c r="V267" s="173">
        <f t="shared" si="39"/>
        <v>0</v>
      </c>
      <c r="W267" s="173">
        <f t="shared" si="39"/>
        <v>0</v>
      </c>
      <c r="X267" s="173">
        <f t="shared" si="39"/>
        <v>0</v>
      </c>
      <c r="Y267" s="173">
        <f t="shared" si="39"/>
        <v>0</v>
      </c>
      <c r="Z267" s="173">
        <f t="shared" si="39"/>
        <v>0</v>
      </c>
      <c r="AA267" s="173">
        <f t="shared" si="39"/>
        <v>0</v>
      </c>
      <c r="AB267" s="173">
        <f t="shared" si="39"/>
        <v>0</v>
      </c>
      <c r="AC267" s="173">
        <f t="shared" si="39"/>
        <v>0</v>
      </c>
      <c r="AD267" s="173">
        <f t="shared" si="39"/>
        <v>0</v>
      </c>
      <c r="AE267" s="173">
        <f t="shared" si="39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40">IF(B235&lt;100,"",B235-520)</f>
        <v/>
      </c>
      <c r="C268" s="174" t="str">
        <f t="shared" si="40"/>
        <v/>
      </c>
      <c r="D268" s="174" t="str">
        <f t="shared" si="40"/>
        <v/>
      </c>
      <c r="E268" s="174" t="str">
        <f t="shared" si="40"/>
        <v/>
      </c>
      <c r="F268" s="174" t="str">
        <f t="shared" si="40"/>
        <v/>
      </c>
      <c r="G268" s="174" t="str">
        <f t="shared" si="40"/>
        <v/>
      </c>
      <c r="H268" s="174" t="str">
        <f t="shared" si="40"/>
        <v/>
      </c>
      <c r="I268" s="174" t="str">
        <f t="shared" si="40"/>
        <v/>
      </c>
      <c r="J268" s="174" t="str">
        <f t="shared" si="40"/>
        <v/>
      </c>
      <c r="K268" s="174" t="str">
        <f t="shared" si="40"/>
        <v/>
      </c>
      <c r="L268" s="174" t="str">
        <f t="shared" si="40"/>
        <v/>
      </c>
      <c r="M268" s="174" t="str">
        <f t="shared" si="40"/>
        <v/>
      </c>
      <c r="N268" s="174" t="str">
        <f t="shared" si="40"/>
        <v/>
      </c>
      <c r="O268" s="174" t="str">
        <f t="shared" si="40"/>
        <v/>
      </c>
      <c r="P268" s="174" t="str">
        <f t="shared" si="40"/>
        <v/>
      </c>
      <c r="Q268" s="174" t="str">
        <f t="shared" si="40"/>
        <v/>
      </c>
      <c r="R268" s="174" t="str">
        <f t="shared" si="40"/>
        <v/>
      </c>
      <c r="S268" s="174" t="str">
        <f t="shared" si="40"/>
        <v/>
      </c>
      <c r="T268" s="174" t="str">
        <f t="shared" si="40"/>
        <v/>
      </c>
      <c r="U268" s="174" t="str">
        <f t="shared" si="40"/>
        <v/>
      </c>
      <c r="V268" s="174" t="str">
        <f t="shared" si="40"/>
        <v/>
      </c>
      <c r="W268" s="174" t="str">
        <f t="shared" si="40"/>
        <v/>
      </c>
      <c r="X268" s="174" t="str">
        <f t="shared" si="40"/>
        <v/>
      </c>
      <c r="Y268" s="174" t="str">
        <f t="shared" si="40"/>
        <v/>
      </c>
      <c r="Z268" s="174" t="str">
        <f t="shared" si="40"/>
        <v/>
      </c>
      <c r="AA268" s="174" t="str">
        <f t="shared" si="40"/>
        <v/>
      </c>
      <c r="AB268" s="174" t="str">
        <f t="shared" si="40"/>
        <v/>
      </c>
      <c r="AC268" s="174" t="str">
        <f t="shared" si="40"/>
        <v/>
      </c>
      <c r="AD268" s="174" t="str">
        <f t="shared" si="40"/>
        <v/>
      </c>
      <c r="AE268" s="174" t="str">
        <f t="shared" si="40"/>
        <v/>
      </c>
      <c r="AF268" s="174" t="str">
        <f t="shared" si="40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41">IF(B236&lt;100,"",B236-620)</f>
        <v/>
      </c>
      <c r="C269" s="174" t="str">
        <f t="shared" si="41"/>
        <v/>
      </c>
      <c r="D269" s="174" t="str">
        <f t="shared" si="41"/>
        <v/>
      </c>
      <c r="E269" s="174" t="str">
        <f t="shared" si="41"/>
        <v/>
      </c>
      <c r="F269" s="174" t="str">
        <f t="shared" si="41"/>
        <v/>
      </c>
      <c r="G269" s="174" t="str">
        <f t="shared" si="41"/>
        <v/>
      </c>
      <c r="H269" s="174" t="str">
        <f t="shared" si="41"/>
        <v/>
      </c>
      <c r="I269" s="174" t="str">
        <f t="shared" si="41"/>
        <v/>
      </c>
      <c r="J269" s="174" t="str">
        <f t="shared" si="41"/>
        <v/>
      </c>
      <c r="K269" s="174" t="str">
        <f t="shared" si="41"/>
        <v/>
      </c>
      <c r="L269" s="174" t="str">
        <f t="shared" si="41"/>
        <v/>
      </c>
      <c r="M269" s="174" t="str">
        <f t="shared" si="41"/>
        <v/>
      </c>
      <c r="N269" s="174" t="str">
        <f t="shared" si="41"/>
        <v/>
      </c>
      <c r="O269" s="174" t="str">
        <f t="shared" si="41"/>
        <v/>
      </c>
      <c r="P269" s="174" t="str">
        <f t="shared" si="41"/>
        <v/>
      </c>
      <c r="Q269" s="174" t="str">
        <f t="shared" si="41"/>
        <v/>
      </c>
      <c r="R269" s="174" t="str">
        <f t="shared" si="41"/>
        <v/>
      </c>
      <c r="S269" s="174" t="str">
        <f t="shared" si="41"/>
        <v/>
      </c>
      <c r="T269" s="174" t="str">
        <f t="shared" si="41"/>
        <v/>
      </c>
      <c r="U269" s="174" t="str">
        <f t="shared" si="41"/>
        <v/>
      </c>
      <c r="V269" s="174" t="str">
        <f t="shared" si="41"/>
        <v/>
      </c>
      <c r="W269" s="174" t="str">
        <f t="shared" si="41"/>
        <v/>
      </c>
      <c r="X269" s="174" t="str">
        <f t="shared" si="41"/>
        <v/>
      </c>
      <c r="Y269" s="174" t="str">
        <f t="shared" si="41"/>
        <v/>
      </c>
      <c r="Z269" s="174" t="str">
        <f t="shared" si="41"/>
        <v/>
      </c>
      <c r="AA269" s="174" t="str">
        <f t="shared" si="41"/>
        <v/>
      </c>
      <c r="AB269" s="174" t="str">
        <f t="shared" si="41"/>
        <v/>
      </c>
      <c r="AC269" s="174" t="str">
        <f t="shared" si="41"/>
        <v/>
      </c>
      <c r="AD269" s="174" t="str">
        <f t="shared" si="41"/>
        <v/>
      </c>
      <c r="AE269" s="174" t="str">
        <f t="shared" si="41"/>
        <v/>
      </c>
      <c r="AF269" s="174" t="str">
        <f t="shared" si="41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42">IF(B237&lt;100,"",B237-330)</f>
        <v/>
      </c>
      <c r="C270" s="174" t="str">
        <f t="shared" si="42"/>
        <v/>
      </c>
      <c r="D270" s="174" t="str">
        <f t="shared" si="42"/>
        <v/>
      </c>
      <c r="E270" s="174" t="str">
        <f t="shared" si="42"/>
        <v/>
      </c>
      <c r="F270" s="174" t="str">
        <f t="shared" si="42"/>
        <v/>
      </c>
      <c r="G270" s="174" t="str">
        <f t="shared" si="42"/>
        <v/>
      </c>
      <c r="H270" s="174" t="str">
        <f t="shared" si="42"/>
        <v/>
      </c>
      <c r="I270" s="174" t="str">
        <f t="shared" si="42"/>
        <v/>
      </c>
      <c r="J270" s="174" t="str">
        <f t="shared" si="42"/>
        <v/>
      </c>
      <c r="K270" s="174" t="str">
        <f t="shared" si="42"/>
        <v/>
      </c>
      <c r="L270" s="174" t="str">
        <f t="shared" si="42"/>
        <v/>
      </c>
      <c r="M270" s="174" t="str">
        <f t="shared" si="42"/>
        <v/>
      </c>
      <c r="N270" s="174" t="str">
        <f t="shared" si="42"/>
        <v/>
      </c>
      <c r="O270" s="174" t="str">
        <f t="shared" si="42"/>
        <v/>
      </c>
      <c r="P270" s="174" t="str">
        <f t="shared" si="42"/>
        <v/>
      </c>
      <c r="Q270" s="174" t="str">
        <f t="shared" si="42"/>
        <v/>
      </c>
      <c r="R270" s="174" t="str">
        <f t="shared" si="42"/>
        <v/>
      </c>
      <c r="S270" s="174" t="str">
        <f t="shared" si="42"/>
        <v/>
      </c>
      <c r="T270" s="174" t="str">
        <f t="shared" si="42"/>
        <v/>
      </c>
      <c r="U270" s="174" t="str">
        <f t="shared" si="42"/>
        <v/>
      </c>
      <c r="V270" s="174" t="str">
        <f t="shared" si="42"/>
        <v/>
      </c>
      <c r="W270" s="174" t="str">
        <f t="shared" si="42"/>
        <v/>
      </c>
      <c r="X270" s="174" t="str">
        <f t="shared" si="42"/>
        <v/>
      </c>
      <c r="Y270" s="174" t="str">
        <f t="shared" si="42"/>
        <v/>
      </c>
      <c r="Z270" s="174" t="str">
        <f t="shared" si="42"/>
        <v/>
      </c>
      <c r="AA270" s="174" t="str">
        <f t="shared" si="42"/>
        <v/>
      </c>
      <c r="AB270" s="174" t="str">
        <f t="shared" si="42"/>
        <v/>
      </c>
      <c r="AC270" s="174" t="str">
        <f t="shared" si="42"/>
        <v/>
      </c>
      <c r="AD270" s="174" t="str">
        <f t="shared" si="42"/>
        <v/>
      </c>
      <c r="AE270" s="174" t="str">
        <f t="shared" si="42"/>
        <v/>
      </c>
      <c r="AF270" s="174" t="str">
        <f t="shared" si="42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43">IF(B238&lt;100,"",B238-1500)</f>
        <v/>
      </c>
      <c r="C271" s="174" t="str">
        <f t="shared" si="43"/>
        <v/>
      </c>
      <c r="D271" s="174" t="str">
        <f t="shared" si="43"/>
        <v/>
      </c>
      <c r="E271" s="174" t="str">
        <f t="shared" si="43"/>
        <v/>
      </c>
      <c r="F271" s="174" t="str">
        <f t="shared" si="43"/>
        <v/>
      </c>
      <c r="G271" s="174" t="str">
        <f t="shared" si="43"/>
        <v/>
      </c>
      <c r="H271" s="174" t="str">
        <f t="shared" si="43"/>
        <v/>
      </c>
      <c r="I271" s="174" t="str">
        <f t="shared" si="43"/>
        <v/>
      </c>
      <c r="J271" s="174" t="str">
        <f t="shared" si="43"/>
        <v/>
      </c>
      <c r="K271" s="174" t="str">
        <f t="shared" si="43"/>
        <v/>
      </c>
      <c r="L271" s="174" t="str">
        <f t="shared" si="43"/>
        <v/>
      </c>
      <c r="M271" s="174" t="str">
        <f t="shared" si="43"/>
        <v/>
      </c>
      <c r="N271" s="174" t="str">
        <f t="shared" si="43"/>
        <v/>
      </c>
      <c r="O271" s="174" t="str">
        <f t="shared" si="43"/>
        <v/>
      </c>
      <c r="P271" s="174" t="str">
        <f t="shared" si="43"/>
        <v/>
      </c>
      <c r="Q271" s="174" t="str">
        <f t="shared" si="43"/>
        <v/>
      </c>
      <c r="R271" s="174" t="str">
        <f t="shared" si="43"/>
        <v/>
      </c>
      <c r="S271" s="174" t="str">
        <f t="shared" si="43"/>
        <v/>
      </c>
      <c r="T271" s="174" t="str">
        <f t="shared" si="43"/>
        <v/>
      </c>
      <c r="U271" s="174" t="str">
        <f t="shared" si="43"/>
        <v/>
      </c>
      <c r="V271" s="174" t="str">
        <f t="shared" si="43"/>
        <v/>
      </c>
      <c r="W271" s="174" t="str">
        <f t="shared" si="43"/>
        <v/>
      </c>
      <c r="X271" s="174" t="str">
        <f t="shared" si="43"/>
        <v/>
      </c>
      <c r="Y271" s="174" t="str">
        <f t="shared" si="43"/>
        <v/>
      </c>
      <c r="Z271" s="174" t="str">
        <f t="shared" si="43"/>
        <v/>
      </c>
      <c r="AA271" s="174" t="str">
        <f t="shared" si="43"/>
        <v/>
      </c>
      <c r="AB271" s="174" t="str">
        <f t="shared" si="43"/>
        <v/>
      </c>
      <c r="AC271" s="174" t="str">
        <f t="shared" si="43"/>
        <v/>
      </c>
      <c r="AD271" s="174" t="str">
        <f t="shared" si="43"/>
        <v/>
      </c>
      <c r="AE271" s="174" t="str">
        <f t="shared" si="43"/>
        <v/>
      </c>
      <c r="AF271" s="174" t="str">
        <f t="shared" si="43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7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709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17:AF32 Y34:AF43 Y45:AF45">
    <cfRule type="expression" dxfId="6213" priority="705">
      <formula>B$9&gt;=20/24</formula>
    </cfRule>
    <cfRule type="expression" dxfId="6212" priority="706">
      <formula>AND(B$9&gt;=14/24,B$9&lt;20/24)</formula>
    </cfRule>
    <cfRule type="expression" dxfId="6211" priority="707">
      <formula>AND(B$9&gt;=8/24,B$9&lt;14/24)</formula>
    </cfRule>
    <cfRule type="expression" dxfId="6210" priority="708">
      <formula>B$9&lt;8/24</formula>
    </cfRule>
  </conditionalFormatting>
  <conditionalFormatting sqref="AL4:AL6">
    <cfRule type="iconSet" priority="704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6209" priority="703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6208" priority="702">
      <formula>$AH12=0</formula>
    </cfRule>
  </conditionalFormatting>
  <conditionalFormatting sqref="A114">
    <cfRule type="expression" dxfId="6207" priority="701">
      <formula>$AH114=0</formula>
    </cfRule>
  </conditionalFormatting>
  <conditionalFormatting sqref="AL42">
    <cfRule type="iconSet" priority="700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206" priority="699">
      <formula>$AH45=0</formula>
    </cfRule>
  </conditionalFormatting>
  <conditionalFormatting sqref="A98">
    <cfRule type="expression" dxfId="6205" priority="698">
      <formula>$AH98=0</formula>
    </cfRule>
  </conditionalFormatting>
  <conditionalFormatting sqref="A18">
    <cfRule type="expression" dxfId="6204" priority="697">
      <formula>$AH18=0</formula>
    </cfRule>
  </conditionalFormatting>
  <conditionalFormatting sqref="A196:A201">
    <cfRule type="expression" dxfId="6203" priority="696">
      <formula>$AH196=0</formula>
    </cfRule>
  </conditionalFormatting>
  <conditionalFormatting sqref="A190:A195">
    <cfRule type="expression" dxfId="6202" priority="695">
      <formula>$AH190=0</formula>
    </cfRule>
  </conditionalFormatting>
  <conditionalFormatting sqref="A58">
    <cfRule type="expression" dxfId="6201" priority="694">
      <formula>$AH58=0</formula>
    </cfRule>
  </conditionalFormatting>
  <conditionalFormatting sqref="A94">
    <cfRule type="expression" dxfId="6200" priority="693">
      <formula>$AH94=0</formula>
    </cfRule>
  </conditionalFormatting>
  <conditionalFormatting sqref="AE99:AF99 E99:X99">
    <cfRule type="expression" dxfId="6199" priority="689">
      <formula>E$9&gt;=20/24</formula>
    </cfRule>
    <cfRule type="expression" dxfId="6198" priority="690">
      <formula>AND(E$9&gt;=14/24,E$9&lt;20/24)</formula>
    </cfRule>
    <cfRule type="expression" dxfId="6197" priority="691">
      <formula>AND(E$9&gt;=8/24,E$9&lt;14/24)</formula>
    </cfRule>
    <cfRule type="expression" dxfId="6196" priority="692">
      <formula>E$9&lt;8/24</formula>
    </cfRule>
  </conditionalFormatting>
  <conditionalFormatting sqref="AL43">
    <cfRule type="iconSet" priority="6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95" priority="711">
      <formula>C$9&gt;=20/24</formula>
    </cfRule>
    <cfRule type="expression" dxfId="6194" priority="712">
      <formula>AND(C$9&gt;=14/24,C$9&lt;20/24)</formula>
    </cfRule>
    <cfRule type="expression" dxfId="6193" priority="713">
      <formula>AND(C$9&gt;=8/24,C$9&lt;14/24)</formula>
    </cfRule>
    <cfRule type="expression" dxfId="6192" priority="714">
      <formula>C$9&lt;8/24</formula>
    </cfRule>
  </conditionalFormatting>
  <conditionalFormatting sqref="A233">
    <cfRule type="expression" dxfId="6191" priority="715">
      <formula>$AH233=0</formula>
    </cfRule>
  </conditionalFormatting>
  <conditionalFormatting sqref="AG245">
    <cfRule type="expression" dxfId="6190" priority="716">
      <formula>B$9&gt;=20/24</formula>
    </cfRule>
    <cfRule type="expression" dxfId="6189" priority="717">
      <formula>AND(B$9&gt;=14/24,B$9&lt;20/24)</formula>
    </cfRule>
    <cfRule type="expression" dxfId="6188" priority="718">
      <formula>AND(B$9&gt;=8/24,B$9&lt;14/24)</formula>
    </cfRule>
    <cfRule type="expression" dxfId="6187" priority="719">
      <formula>B$9&lt;8/24</formula>
    </cfRule>
  </conditionalFormatting>
  <conditionalFormatting sqref="S8">
    <cfRule type="expression" dxfId="6186" priority="684">
      <formula>U$9&gt;=20/24</formula>
    </cfRule>
    <cfRule type="expression" dxfId="6185" priority="685">
      <formula>AND(U$9&gt;=14/24,U$9&lt;20/24)</formula>
    </cfRule>
    <cfRule type="expression" dxfId="6184" priority="686">
      <formula>AND(U$9&gt;=8/24,U$9&lt;14/24)</formula>
    </cfRule>
    <cfRule type="expression" dxfId="6183" priority="687">
      <formula>U$9&lt;8/24</formula>
    </cfRule>
  </conditionalFormatting>
  <conditionalFormatting sqref="AB8">
    <cfRule type="expression" dxfId="6182" priority="680">
      <formula>AD$9&gt;=20/24</formula>
    </cfRule>
    <cfRule type="expression" dxfId="6181" priority="681">
      <formula>AND(AD$9&gt;=14/24,AD$9&lt;20/24)</formula>
    </cfRule>
    <cfRule type="expression" dxfId="6180" priority="682">
      <formula>AND(AD$9&gt;=8/24,AD$9&lt;14/24)</formula>
    </cfRule>
    <cfRule type="expression" dxfId="6179" priority="683">
      <formula>AD$9&lt;8/24</formula>
    </cfRule>
  </conditionalFormatting>
  <conditionalFormatting sqref="AH245:AX245">
    <cfRule type="expression" dxfId="6178" priority="720">
      <formula>AG$9&gt;=20/24</formula>
    </cfRule>
    <cfRule type="expression" dxfId="6177" priority="721">
      <formula>AND(AG$9&gt;=14/24,AG$9&lt;20/24)</formula>
    </cfRule>
    <cfRule type="expression" dxfId="6176" priority="722">
      <formula>AND(AG$9&gt;=8/24,AG$9&lt;14/24)</formula>
    </cfRule>
    <cfRule type="expression" dxfId="6175" priority="723">
      <formula>AG$9&lt;8/24</formula>
    </cfRule>
  </conditionalFormatting>
  <conditionalFormatting sqref="T245">
    <cfRule type="expression" dxfId="6174" priority="724">
      <formula>AX$9&gt;=20/24</formula>
    </cfRule>
    <cfRule type="expression" dxfId="6173" priority="725">
      <formula>AND(AX$9&gt;=14/24,AX$9&lt;20/24)</formula>
    </cfRule>
    <cfRule type="expression" dxfId="6172" priority="726">
      <formula>AND(AX$9&gt;=8/24,AX$9&lt;14/24)</formula>
    </cfRule>
    <cfRule type="expression" dxfId="6171" priority="727">
      <formula>AX$9&lt;8/24</formula>
    </cfRule>
  </conditionalFormatting>
  <conditionalFormatting sqref="A115:A116">
    <cfRule type="expression" dxfId="6170" priority="679">
      <formula>$AH115=0</formula>
    </cfRule>
  </conditionalFormatting>
  <conditionalFormatting sqref="O54:S58 T56:X58 I71:AF71 AB54:AE55 Y56:AE57 AF54:AF57">
    <cfRule type="expression" dxfId="6169" priority="675">
      <formula>I$9&gt;=20/24</formula>
    </cfRule>
    <cfRule type="expression" dxfId="6168" priority="676">
      <formula>AND(I$9&gt;=14/24,I$9&lt;20/24)</formula>
    </cfRule>
    <cfRule type="expression" dxfId="6167" priority="677">
      <formula>AND(I$9&gt;=8/24,I$9&lt;14/24)</formula>
    </cfRule>
    <cfRule type="expression" dxfId="6166" priority="678">
      <formula>I$9&lt;8/24</formula>
    </cfRule>
  </conditionalFormatting>
  <conditionalFormatting sqref="AB53:AF53 O53:S53">
    <cfRule type="expression" dxfId="6165" priority="671">
      <formula>O$9&gt;=20/24</formula>
    </cfRule>
    <cfRule type="expression" dxfId="6164" priority="672">
      <formula>AND(O$9&gt;=14/24,O$9&lt;20/24)</formula>
    </cfRule>
    <cfRule type="expression" dxfId="6163" priority="673">
      <formula>AND(O$9&gt;=8/24,O$9&lt;14/24)</formula>
    </cfRule>
    <cfRule type="expression" dxfId="6162" priority="674">
      <formula>O$9&lt;8/24</formula>
    </cfRule>
  </conditionalFormatting>
  <conditionalFormatting sqref="O53:S58 T56:X58 AB53:AF53 Y56:AE57 AB54:AE55 AF54:AF57">
    <cfRule type="expression" dxfId="6161" priority="670">
      <formula>O53&gt;$AG53</formula>
    </cfRule>
  </conditionalFormatting>
  <conditionalFormatting sqref="D86:AF86 X47:AF47 X96:AF96 AE100:AF106 M100:X106 Y74:AF74 Y67:AF69 K72:AF73">
    <cfRule type="expression" dxfId="6160" priority="666">
      <formula>D$9&gt;=20/24</formula>
    </cfRule>
    <cfRule type="expression" dxfId="6159" priority="667">
      <formula>AND(D$9&gt;=14/24,D$9&lt;20/24)</formula>
    </cfRule>
    <cfRule type="expression" dxfId="6158" priority="668">
      <formula>AND(D$9&gt;=8/24,D$9&lt;14/24)</formula>
    </cfRule>
    <cfRule type="expression" dxfId="6157" priority="669">
      <formula>D$9&lt;8/24</formula>
    </cfRule>
  </conditionalFormatting>
  <conditionalFormatting sqref="X47:AF47 Y67:AF69">
    <cfRule type="expression" dxfId="6156" priority="665">
      <formula>X47&gt;$AG47</formula>
    </cfRule>
  </conditionalFormatting>
  <conditionalFormatting sqref="T53:AA55">
    <cfRule type="expression" dxfId="6155" priority="661">
      <formula>T$9&gt;=20/24</formula>
    </cfRule>
    <cfRule type="expression" dxfId="6154" priority="662">
      <formula>AND(T$9&gt;=14/24,T$9&lt;20/24)</formula>
    </cfRule>
    <cfRule type="expression" dxfId="6153" priority="663">
      <formula>AND(T$9&gt;=8/24,T$9&lt;14/24)</formula>
    </cfRule>
    <cfRule type="expression" dxfId="6152" priority="664">
      <formula>T$9&lt;8/24</formula>
    </cfRule>
  </conditionalFormatting>
  <conditionalFormatting sqref="T53:AA55">
    <cfRule type="expression" dxfId="6151" priority="660">
      <formula>T53&gt;$AG53</formula>
    </cfRule>
  </conditionalFormatting>
  <conditionalFormatting sqref="D97:AF97 B88:AF88">
    <cfRule type="expression" dxfId="6150" priority="656">
      <formula>B$9&gt;=20/24</formula>
    </cfRule>
    <cfRule type="expression" dxfId="6149" priority="657">
      <formula>AND(B$9&gt;=14/24,B$9&lt;20/24)</formula>
    </cfRule>
    <cfRule type="expression" dxfId="6148" priority="658">
      <formula>AND(B$9&gt;=8/24,B$9&lt;14/24)</formula>
    </cfRule>
    <cfRule type="expression" dxfId="6147" priority="659">
      <formula>B$9&lt;8/24</formula>
    </cfRule>
  </conditionalFormatting>
  <conditionalFormatting sqref="T47:W47">
    <cfRule type="expression" dxfId="6146" priority="652">
      <formula>T$9&gt;=20/24</formula>
    </cfRule>
    <cfRule type="expression" dxfId="6145" priority="653">
      <formula>AND(T$9&gt;=14/24,T$9&lt;20/24)</formula>
    </cfRule>
    <cfRule type="expression" dxfId="6144" priority="654">
      <formula>AND(T$9&gt;=8/24,T$9&lt;14/24)</formula>
    </cfRule>
    <cfRule type="expression" dxfId="6143" priority="655">
      <formula>T$9&lt;8/24</formula>
    </cfRule>
  </conditionalFormatting>
  <conditionalFormatting sqref="T47:W47">
    <cfRule type="expression" dxfId="6142" priority="651">
      <formula>T47&gt;$AG47</formula>
    </cfRule>
  </conditionalFormatting>
  <conditionalFormatting sqref="H54:N55 Y46:AF46">
    <cfRule type="expression" dxfId="6141" priority="647">
      <formula>H$9&gt;=20/24</formula>
    </cfRule>
    <cfRule type="expression" dxfId="6140" priority="648">
      <formula>AND(H$9&gt;=14/24,H$9&lt;20/24)</formula>
    </cfRule>
    <cfRule type="expression" dxfId="6139" priority="649">
      <formula>AND(H$9&gt;=8/24,H$9&lt;14/24)</formula>
    </cfRule>
    <cfRule type="expression" dxfId="6138" priority="650">
      <formula>H$9&lt;8/24</formula>
    </cfRule>
  </conditionalFormatting>
  <conditionalFormatting sqref="H53:N53">
    <cfRule type="expression" dxfId="6137" priority="643">
      <formula>H$9&gt;=20/24</formula>
    </cfRule>
    <cfRule type="expression" dxfId="6136" priority="644">
      <formula>AND(H$9&gt;=14/24,H$9&lt;20/24)</formula>
    </cfRule>
    <cfRule type="expression" dxfId="6135" priority="645">
      <formula>AND(H$9&gt;=8/24,H$9&lt;14/24)</formula>
    </cfRule>
    <cfRule type="expression" dxfId="6134" priority="646">
      <formula>H$9&lt;8/24</formula>
    </cfRule>
  </conditionalFormatting>
  <conditionalFormatting sqref="H53:N55 Y46:AF46">
    <cfRule type="expression" dxfId="6133" priority="642">
      <formula>H46&gt;$AG46</formula>
    </cfRule>
  </conditionalFormatting>
  <conditionalFormatting sqref="AG70 AG87 K100:L106 P67:X69">
    <cfRule type="expression" dxfId="6132" priority="638">
      <formula>K$9&gt;=20/24</formula>
    </cfRule>
    <cfRule type="expression" dxfId="6131" priority="639">
      <formula>AND(K$9&gt;=14/24,K$9&lt;20/24)</formula>
    </cfRule>
    <cfRule type="expression" dxfId="6130" priority="640">
      <formula>AND(K$9&gt;=8/24,K$9&lt;14/24)</formula>
    </cfRule>
    <cfRule type="expression" dxfId="6129" priority="641">
      <formula>K$9&lt;8/24</formula>
    </cfRule>
  </conditionalFormatting>
  <conditionalFormatting sqref="AG48 AG66 AG70 P67:X69">
    <cfRule type="expression" dxfId="6128" priority="637">
      <formula>P48&gt;$AG48</formula>
    </cfRule>
  </conditionalFormatting>
  <conditionalFormatting sqref="Y58:AF58">
    <cfRule type="expression" dxfId="6127" priority="633">
      <formula>Y$9&gt;=20/24</formula>
    </cfRule>
    <cfRule type="expression" dxfId="6126" priority="634">
      <formula>AND(Y$9&gt;=14/24,Y$9&lt;20/24)</formula>
    </cfRule>
    <cfRule type="expression" dxfId="6125" priority="635">
      <formula>AND(Y$9&gt;=8/24,Y$9&lt;14/24)</formula>
    </cfRule>
    <cfRule type="expression" dxfId="6124" priority="636">
      <formula>Y$9&lt;8/24</formula>
    </cfRule>
  </conditionalFormatting>
  <conditionalFormatting sqref="Y58:AF58">
    <cfRule type="expression" dxfId="6123" priority="632">
      <formula>Y58&gt;$AG58</formula>
    </cfRule>
  </conditionalFormatting>
  <conditionalFormatting sqref="A43">
    <cfRule type="expression" dxfId="6122" priority="631">
      <formula>$AH43=0</formula>
    </cfRule>
  </conditionalFormatting>
  <conditionalFormatting sqref="X91:AF95">
    <cfRule type="expression" dxfId="6121" priority="627">
      <formula>X$9&gt;=20/24</formula>
    </cfRule>
    <cfRule type="expression" dxfId="6120" priority="628">
      <formula>AND(X$9&gt;=14/24,X$9&lt;20/24)</formula>
    </cfRule>
    <cfRule type="expression" dxfId="6119" priority="629">
      <formula>AND(X$9&gt;=8/24,X$9&lt;14/24)</formula>
    </cfRule>
    <cfRule type="expression" dxfId="6118" priority="630">
      <formula>X$9&lt;8/24</formula>
    </cfRule>
  </conditionalFormatting>
  <conditionalFormatting sqref="AL45 AL41 AL22:AL32 AL38:AL39 AL7:AL15 AL17:AL20 AL34:AL36">
    <cfRule type="iconSet" priority="728">
      <iconSet iconSet="3TrafficLights2" reverse="1">
        <cfvo type="percent" val="0"/>
        <cfvo type="num" val="1"/>
        <cfvo type="num" val="1"/>
      </iconSet>
    </cfRule>
  </conditionalFormatting>
  <conditionalFormatting sqref="M49:N49 O49:AF51">
    <cfRule type="expression" dxfId="6117" priority="623">
      <formula>M$9&gt;=20/24</formula>
    </cfRule>
    <cfRule type="expression" dxfId="6116" priority="624">
      <formula>AND(M$9&gt;=14/24,M$9&lt;20/24)</formula>
    </cfRule>
    <cfRule type="expression" dxfId="6115" priority="625">
      <formula>AND(M$9&gt;=8/24,M$9&lt;14/24)</formula>
    </cfRule>
    <cfRule type="expression" dxfId="6114" priority="626">
      <formula>M$9&lt;8/24</formula>
    </cfRule>
  </conditionalFormatting>
  <conditionalFormatting sqref="M49:N49 O49:AF51">
    <cfRule type="expression" dxfId="6113" priority="622">
      <formula>M49&gt;$AG49</formula>
    </cfRule>
  </conditionalFormatting>
  <conditionalFormatting sqref="AG52">
    <cfRule type="expression" dxfId="6112" priority="618">
      <formula>AG$9&gt;=20/24</formula>
    </cfRule>
    <cfRule type="expression" dxfId="6111" priority="619">
      <formula>AND(AG$9&gt;=14/24,AG$9&lt;20/24)</formula>
    </cfRule>
    <cfRule type="expression" dxfId="6110" priority="620">
      <formula>AND(AG$9&gt;=8/24,AG$9&lt;14/24)</formula>
    </cfRule>
    <cfRule type="expression" dxfId="6109" priority="621">
      <formula>AG$9&lt;8/24</formula>
    </cfRule>
  </conditionalFormatting>
  <conditionalFormatting sqref="AG52">
    <cfRule type="expression" dxfId="6108" priority="617">
      <formula>AG52&gt;$AG52</formula>
    </cfRule>
  </conditionalFormatting>
  <conditionalFormatting sqref="D107:AF107">
    <cfRule type="expression" dxfId="6107" priority="613">
      <formula>D$9&gt;=20/24</formula>
    </cfRule>
    <cfRule type="expression" dxfId="6106" priority="614">
      <formula>AND(D$9&gt;=14/24,D$9&lt;20/24)</formula>
    </cfRule>
    <cfRule type="expression" dxfId="6105" priority="615">
      <formula>AND(D$9&gt;=8/24,D$9&lt;14/24)</formula>
    </cfRule>
    <cfRule type="expression" dxfId="6104" priority="616">
      <formula>D$9&lt;8/24</formula>
    </cfRule>
  </conditionalFormatting>
  <conditionalFormatting sqref="AL40">
    <cfRule type="iconSet" priority="612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103" priority="611">
      <formula>$AH40=0</formula>
    </cfRule>
  </conditionalFormatting>
  <conditionalFormatting sqref="A90">
    <cfRule type="expression" dxfId="6102" priority="609">
      <formula>$AH90=0</formula>
    </cfRule>
  </conditionalFormatting>
  <conditionalFormatting sqref="A87">
    <cfRule type="expression" dxfId="6101" priority="610">
      <formula>$AH87=0</formula>
    </cfRule>
  </conditionalFormatting>
  <conditionalFormatting sqref="D110:AF110">
    <cfRule type="expression" dxfId="6100" priority="605">
      <formula>D$9&gt;=20/24</formula>
    </cfRule>
    <cfRule type="expression" dxfId="6099" priority="606">
      <formula>AND(D$9&gt;=14/24,D$9&lt;20/24)</formula>
    </cfRule>
    <cfRule type="expression" dxfId="6098" priority="607">
      <formula>AND(D$9&gt;=8/24,D$9&lt;14/24)</formula>
    </cfRule>
    <cfRule type="expression" dxfId="6097" priority="608">
      <formula>D$9&lt;8/24</formula>
    </cfRule>
  </conditionalFormatting>
  <conditionalFormatting sqref="A110">
    <cfRule type="expression" dxfId="6096" priority="604">
      <formula>$AH110=0</formula>
    </cfRule>
  </conditionalFormatting>
  <conditionalFormatting sqref="A21">
    <cfRule type="expression" dxfId="6095" priority="602">
      <formula>$AH21=0</formula>
    </cfRule>
  </conditionalFormatting>
  <conditionalFormatting sqref="AL21">
    <cfRule type="iconSet" priority="60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094" priority="600">
      <formula>$AH37=0</formula>
    </cfRule>
  </conditionalFormatting>
  <conditionalFormatting sqref="AL37">
    <cfRule type="iconSet" priority="601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6093" priority="596">
      <formula>Y$9&gt;=20/24</formula>
    </cfRule>
    <cfRule type="expression" dxfId="6092" priority="597">
      <formula>AND(Y$9&gt;=14/24,Y$9&lt;20/24)</formula>
    </cfRule>
    <cfRule type="expression" dxfId="6091" priority="598">
      <formula>AND(Y$9&gt;=8/24,Y$9&lt;14/24)</formula>
    </cfRule>
    <cfRule type="expression" dxfId="6090" priority="599">
      <formula>Y$9&lt;8/24</formula>
    </cfRule>
  </conditionalFormatting>
  <conditionalFormatting sqref="Y100:AD106">
    <cfRule type="expression" dxfId="6089" priority="592">
      <formula>Y$9&gt;=20/24</formula>
    </cfRule>
    <cfRule type="expression" dxfId="6088" priority="593">
      <formula>AND(Y$9&gt;=14/24,Y$9&lt;20/24)</formula>
    </cfRule>
    <cfRule type="expression" dxfId="6087" priority="594">
      <formula>AND(Y$9&gt;=8/24,Y$9&lt;14/24)</formula>
    </cfRule>
    <cfRule type="expression" dxfId="6086" priority="595">
      <formula>Y$9&lt;8/24</formula>
    </cfRule>
  </conditionalFormatting>
  <conditionalFormatting sqref="V18:X18">
    <cfRule type="expression" dxfId="6085" priority="588">
      <formula>V$9&gt;=20/24</formula>
    </cfRule>
    <cfRule type="expression" dxfId="6084" priority="589">
      <formula>AND(V$9&gt;=14/24,V$9&lt;20/24)</formula>
    </cfRule>
    <cfRule type="expression" dxfId="6083" priority="590">
      <formula>AND(V$9&gt;=8/24,V$9&lt;14/24)</formula>
    </cfRule>
    <cfRule type="expression" dxfId="6082" priority="591">
      <formula>V$9&lt;8/24</formula>
    </cfRule>
  </conditionalFormatting>
  <conditionalFormatting sqref="E47:S47">
    <cfRule type="expression" dxfId="6081" priority="584">
      <formula>E$9&gt;=20/24</formula>
    </cfRule>
    <cfRule type="expression" dxfId="6080" priority="585">
      <formula>AND(E$9&gt;=14/24,E$9&lt;20/24)</formula>
    </cfRule>
    <cfRule type="expression" dxfId="6079" priority="586">
      <formula>AND(E$9&gt;=8/24,E$9&lt;14/24)</formula>
    </cfRule>
    <cfRule type="expression" dxfId="6078" priority="587">
      <formula>E$9&lt;8/24</formula>
    </cfRule>
  </conditionalFormatting>
  <conditionalFormatting sqref="E47:S47 V18:X18">
    <cfRule type="expression" dxfId="6077" priority="583">
      <formula>E18&gt;$AG18</formula>
    </cfRule>
  </conditionalFormatting>
  <conditionalFormatting sqref="D99">
    <cfRule type="expression" dxfId="6076" priority="579">
      <formula>D$9&gt;=20/24</formula>
    </cfRule>
    <cfRule type="expression" dxfId="6075" priority="580">
      <formula>AND(D$9&gt;=14/24,D$9&lt;20/24)</formula>
    </cfRule>
    <cfRule type="expression" dxfId="6074" priority="581">
      <formula>AND(D$9&gt;=8/24,D$9&lt;14/24)</formula>
    </cfRule>
    <cfRule type="expression" dxfId="6073" priority="582">
      <formula>D$9&lt;8/24</formula>
    </cfRule>
  </conditionalFormatting>
  <conditionalFormatting sqref="D96:W96 D83:AF85 D100:J106 K67:O69 T74:X74 Y75:AF76">
    <cfRule type="expression" dxfId="6072" priority="566">
      <formula>D$9&gt;=20/24</formula>
    </cfRule>
    <cfRule type="expression" dxfId="6071" priority="567">
      <formula>AND(D$9&gt;=14/24,D$9&lt;20/24)</formula>
    </cfRule>
    <cfRule type="expression" dxfId="6070" priority="568">
      <formula>AND(D$9&gt;=8/24,D$9&lt;14/24)</formula>
    </cfRule>
    <cfRule type="expression" dxfId="6069" priority="569">
      <formula>D$9&lt;8/24</formula>
    </cfRule>
  </conditionalFormatting>
  <conditionalFormatting sqref="K67:O69">
    <cfRule type="expression" dxfId="6068" priority="565">
      <formula>K67&gt;$AG67</formula>
    </cfRule>
  </conditionalFormatting>
  <conditionalFormatting sqref="E70:AF70 D87:AF87 D89:AF89 D98:AF98">
    <cfRule type="expression" dxfId="6067" priority="551">
      <formula>D$9&gt;=20/24</formula>
    </cfRule>
    <cfRule type="expression" dxfId="6066" priority="552">
      <formula>AND(D$9&gt;=14/24,D$9&lt;20/24)</formula>
    </cfRule>
    <cfRule type="expression" dxfId="6065" priority="553">
      <formula>AND(D$9&gt;=8/24,D$9&lt;14/24)</formula>
    </cfRule>
    <cfRule type="expression" dxfId="6064" priority="554">
      <formula>D$9&lt;8/24</formula>
    </cfRule>
  </conditionalFormatting>
  <conditionalFormatting sqref="E65:AF66 E70:AF70 E48:AF48">
    <cfRule type="expression" dxfId="6063" priority="550">
      <formula>E48&gt;$AG48</formula>
    </cfRule>
  </conditionalFormatting>
  <conditionalFormatting sqref="D82:AF82">
    <cfRule type="expression" dxfId="6062" priority="546">
      <formula>D$9&gt;=20/24</formula>
    </cfRule>
    <cfRule type="expression" dxfId="6061" priority="547">
      <formula>AND(D$9&gt;=14/24,D$9&lt;20/24)</formula>
    </cfRule>
    <cfRule type="expression" dxfId="6060" priority="548">
      <formula>AND(D$9&gt;=8/24,D$9&lt;14/24)</formula>
    </cfRule>
    <cfRule type="expression" dxfId="6059" priority="549">
      <formula>D$9&lt;8/24</formula>
    </cfRule>
  </conditionalFormatting>
  <conditionalFormatting sqref="D91:W95">
    <cfRule type="expression" dxfId="6058" priority="542">
      <formula>D$9&gt;=20/24</formula>
    </cfRule>
    <cfRule type="expression" dxfId="6057" priority="543">
      <formula>AND(D$9&gt;=14/24,D$9&lt;20/24)</formula>
    </cfRule>
    <cfRule type="expression" dxfId="6056" priority="544">
      <formula>AND(D$9&gt;=8/24,D$9&lt;14/24)</formula>
    </cfRule>
    <cfRule type="expression" dxfId="6055" priority="545">
      <formula>D$9&lt;8/24</formula>
    </cfRule>
  </conditionalFormatting>
  <conditionalFormatting sqref="E52:AF52">
    <cfRule type="expression" dxfId="6054" priority="533">
      <formula>E$9&gt;=20/24</formula>
    </cfRule>
    <cfRule type="expression" dxfId="6053" priority="534">
      <formula>AND(E$9&gt;=14/24,E$9&lt;20/24)</formula>
    </cfRule>
    <cfRule type="expression" dxfId="6052" priority="535">
      <formula>AND(E$9&gt;=8/24,E$9&lt;14/24)</formula>
    </cfRule>
    <cfRule type="expression" dxfId="6051" priority="536">
      <formula>E$9&lt;8/24</formula>
    </cfRule>
  </conditionalFormatting>
  <conditionalFormatting sqref="E52:AF52">
    <cfRule type="expression" dxfId="6050" priority="532">
      <formula>E52&gt;$AG52</formula>
    </cfRule>
  </conditionalFormatting>
  <conditionalFormatting sqref="Y59:AF64">
    <cfRule type="expression" dxfId="6049" priority="520">
      <formula>Y$9&gt;=20/24</formula>
    </cfRule>
    <cfRule type="expression" dxfId="6048" priority="521">
      <formula>AND(Y$9&gt;=14/24,Y$9&lt;20/24)</formula>
    </cfRule>
    <cfRule type="expression" dxfId="6047" priority="522">
      <formula>AND(Y$9&gt;=8/24,Y$9&lt;14/24)</formula>
    </cfRule>
    <cfRule type="expression" dxfId="6046" priority="523">
      <formula>Y$9&lt;8/24</formula>
    </cfRule>
  </conditionalFormatting>
  <conditionalFormatting sqref="Y59:AF64">
    <cfRule type="expression" dxfId="6045" priority="519">
      <formula>Y59&gt;$AG59</formula>
    </cfRule>
  </conditionalFormatting>
  <conditionalFormatting sqref="Y77:AF81">
    <cfRule type="expression" dxfId="6044" priority="501">
      <formula>Y$9&gt;=20/24</formula>
    </cfRule>
    <cfRule type="expression" dxfId="6043" priority="502">
      <formula>AND(Y$9&gt;=14/24,Y$9&lt;20/24)</formula>
    </cfRule>
    <cfRule type="expression" dxfId="6042" priority="503">
      <formula>AND(Y$9&gt;=8/24,Y$9&lt;14/24)</formula>
    </cfRule>
    <cfRule type="expression" dxfId="6041" priority="504">
      <formula>Y$9&lt;8/24</formula>
    </cfRule>
  </conditionalFormatting>
  <conditionalFormatting sqref="AL78:AN78 AL84:AN84 AN79:AN80">
    <cfRule type="expression" dxfId="6040" priority="497">
      <formula>AL$9&gt;=20/24</formula>
    </cfRule>
    <cfRule type="expression" dxfId="6039" priority="498">
      <formula>AND(AL$9&gt;=14/24,AL$9&lt;20/24)</formula>
    </cfRule>
    <cfRule type="expression" dxfId="6038" priority="499">
      <formula>AND(AL$9&gt;=8/24,AL$9&lt;14/24)</formula>
    </cfRule>
    <cfRule type="expression" dxfId="6037" priority="500">
      <formula>AL$9&lt;8/24</formula>
    </cfRule>
  </conditionalFormatting>
  <conditionalFormatting sqref="AN81:AN82">
    <cfRule type="expression" dxfId="6036" priority="493">
      <formula>AN$9&gt;=20/24</formula>
    </cfRule>
    <cfRule type="expression" dxfId="6035" priority="494">
      <formula>AND(AN$9&gt;=14/24,AN$9&lt;20/24)</formula>
    </cfRule>
    <cfRule type="expression" dxfId="6034" priority="495">
      <formula>AND(AN$9&gt;=8/24,AN$9&lt;14/24)</formula>
    </cfRule>
    <cfRule type="expression" dxfId="6033" priority="496">
      <formula>AN$9&lt;8/24</formula>
    </cfRule>
  </conditionalFormatting>
  <conditionalFormatting sqref="AL79:AM83">
    <cfRule type="expression" dxfId="6032" priority="729">
      <formula>AJ$9&gt;=20/24</formula>
    </cfRule>
    <cfRule type="expression" dxfId="6031" priority="730">
      <formula>AND(AJ$9&gt;=14/24,AJ$9&lt;20/24)</formula>
    </cfRule>
    <cfRule type="expression" dxfId="6030" priority="731">
      <formula>AND(AJ$9&gt;=8/24,AJ$9&lt;14/24)</formula>
    </cfRule>
    <cfRule type="expression" dxfId="6029" priority="732">
      <formula>AJ$9&lt;8/24</formula>
    </cfRule>
  </conditionalFormatting>
  <conditionalFormatting sqref="A117">
    <cfRule type="expression" dxfId="6028" priority="492">
      <formula>$AH117=0</formula>
    </cfRule>
  </conditionalFormatting>
  <conditionalFormatting sqref="Y11:AF11">
    <cfRule type="expression" dxfId="6027" priority="403">
      <formula>Y$9&gt;=20/24</formula>
    </cfRule>
    <cfRule type="expression" dxfId="6026" priority="404">
      <formula>AND(Y$9&gt;=14/24,Y$9&lt;20/24)</formula>
    </cfRule>
    <cfRule type="expression" dxfId="6025" priority="405">
      <formula>AND(Y$9&gt;=8/24,Y$9&lt;14/24)</formula>
    </cfRule>
    <cfRule type="expression" dxfId="6024" priority="406">
      <formula>Y$9&lt;8/24</formula>
    </cfRule>
  </conditionalFormatting>
  <conditionalFormatting sqref="Y11:AF11">
    <cfRule type="expression" dxfId="6023" priority="402">
      <formula>Y11&gt;$AG11</formula>
    </cfRule>
  </conditionalFormatting>
  <conditionalFormatting sqref="A11">
    <cfRule type="expression" dxfId="6022" priority="401">
      <formula>$AH11=0</formula>
    </cfRule>
  </conditionalFormatting>
  <conditionalFormatting sqref="Y16:AF16">
    <cfRule type="expression" dxfId="6021" priority="386">
      <formula>Y$9&gt;=20/24</formula>
    </cfRule>
    <cfRule type="expression" dxfId="6020" priority="387">
      <formula>AND(Y$9&gt;=14/24,Y$9&lt;20/24)</formula>
    </cfRule>
    <cfRule type="expression" dxfId="6019" priority="388">
      <formula>AND(Y$9&gt;=8/24,Y$9&lt;14/24)</formula>
    </cfRule>
    <cfRule type="expression" dxfId="6018" priority="389">
      <formula>Y$9&lt;8/24</formula>
    </cfRule>
  </conditionalFormatting>
  <conditionalFormatting sqref="Y16:AF16">
    <cfRule type="expression" dxfId="6017" priority="385">
      <formula>Y16&gt;$AG16</formula>
    </cfRule>
  </conditionalFormatting>
  <conditionalFormatting sqref="A16">
    <cfRule type="expression" dxfId="6016" priority="384">
      <formula>$AH16=0</formula>
    </cfRule>
  </conditionalFormatting>
  <conditionalFormatting sqref="AL16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Y33:AF33">
    <cfRule type="expression" dxfId="6015" priority="369">
      <formula>Y$9&gt;=20/24</formula>
    </cfRule>
    <cfRule type="expression" dxfId="6014" priority="370">
      <formula>AND(Y$9&gt;=14/24,Y$9&lt;20/24)</formula>
    </cfRule>
    <cfRule type="expression" dxfId="6013" priority="371">
      <formula>AND(Y$9&gt;=8/24,Y$9&lt;14/24)</formula>
    </cfRule>
    <cfRule type="expression" dxfId="6012" priority="372">
      <formula>Y$9&lt;8/24</formula>
    </cfRule>
  </conditionalFormatting>
  <conditionalFormatting sqref="Y33:AF33">
    <cfRule type="expression" dxfId="6011" priority="368">
      <formula>Y33&gt;$AG33</formula>
    </cfRule>
  </conditionalFormatting>
  <conditionalFormatting sqref="A33">
    <cfRule type="expression" dxfId="6010" priority="367">
      <formula>$AH33=0</formula>
    </cfRule>
  </conditionalFormatting>
  <conditionalFormatting sqref="AL33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Y44:AF44">
    <cfRule type="expression" dxfId="6009" priority="352">
      <formula>Y$9&gt;=20/24</formula>
    </cfRule>
    <cfRule type="expression" dxfId="6008" priority="353">
      <formula>AND(Y$9&gt;=14/24,Y$9&lt;20/24)</formula>
    </cfRule>
    <cfRule type="expression" dxfId="6007" priority="354">
      <formula>AND(Y$9&gt;=8/24,Y$9&lt;14/24)</formula>
    </cfRule>
    <cfRule type="expression" dxfId="6006" priority="355">
      <formula>Y$9&lt;8/24</formula>
    </cfRule>
  </conditionalFormatting>
  <conditionalFormatting sqref="Y44:AF44">
    <cfRule type="expression" dxfId="6005" priority="351">
      <formula>Y44&gt;$AG44</formula>
    </cfRule>
  </conditionalFormatting>
  <conditionalFormatting sqref="A44">
    <cfRule type="expression" dxfId="6004" priority="350">
      <formula>$AH44=0</formula>
    </cfRule>
  </conditionalFormatting>
  <conditionalFormatting sqref="AL44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6003" priority="336">
      <formula>D$9&gt;=20/24</formula>
    </cfRule>
    <cfRule type="expression" dxfId="6002" priority="337">
      <formula>AND(D$9&gt;=14/24,D$9&lt;20/24)</formula>
    </cfRule>
    <cfRule type="expression" dxfId="6001" priority="338">
      <formula>AND(D$9&gt;=8/24,D$9&lt;14/24)</formula>
    </cfRule>
    <cfRule type="expression" dxfId="6000" priority="339">
      <formula>D$9&lt;8/24</formula>
    </cfRule>
  </conditionalFormatting>
  <conditionalFormatting sqref="B109 B111:B116 B12:B15 B17:B32 B34:B43 B45 C43:X43">
    <cfRule type="expression" dxfId="5999" priority="324">
      <formula>B$9&gt;=20/24</formula>
    </cfRule>
    <cfRule type="expression" dxfId="5998" priority="325">
      <formula>AND(B$9&gt;=14/24,B$9&lt;20/24)</formula>
    </cfRule>
    <cfRule type="expression" dxfId="5997" priority="326">
      <formula>AND(B$9&gt;=8/24,B$9&lt;14/24)</formula>
    </cfRule>
    <cfRule type="expression" dxfId="5996" priority="327">
      <formula>B$9&lt;8/24</formula>
    </cfRule>
  </conditionalFormatting>
  <conditionalFormatting sqref="B12:B15 B17:B32 B34:B43 B45 C43:X43">
    <cfRule type="expression" dxfId="5995" priority="323">
      <formula>B12&gt;$AG12</formula>
    </cfRule>
  </conditionalFormatting>
  <conditionalFormatting sqref="B99">
    <cfRule type="expression" dxfId="5994" priority="319">
      <formula>B$9&gt;=20/24</formula>
    </cfRule>
    <cfRule type="expression" dxfId="5993" priority="320">
      <formula>AND(B$9&gt;=14/24,B$9&lt;20/24)</formula>
    </cfRule>
    <cfRule type="expression" dxfId="5992" priority="321">
      <formula>AND(B$9&gt;=8/24,B$9&lt;14/24)</formula>
    </cfRule>
    <cfRule type="expression" dxfId="5991" priority="322">
      <formula>B$9&lt;8/24</formula>
    </cfRule>
  </conditionalFormatting>
  <conditionalFormatting sqref="B54:B57 B71">
    <cfRule type="expression" dxfId="5990" priority="315">
      <formula>B$9&gt;=20/24</formula>
    </cfRule>
    <cfRule type="expression" dxfId="5989" priority="316">
      <formula>AND(B$9&gt;=14/24,B$9&lt;20/24)</formula>
    </cfRule>
    <cfRule type="expression" dxfId="5988" priority="317">
      <formula>AND(B$9&gt;=8/24,B$9&lt;14/24)</formula>
    </cfRule>
    <cfRule type="expression" dxfId="5987" priority="318">
      <formula>B$9&lt;8/24</formula>
    </cfRule>
  </conditionalFormatting>
  <conditionalFormatting sqref="B53">
    <cfRule type="expression" dxfId="5986" priority="311">
      <formula>B$9&gt;=20/24</formula>
    </cfRule>
    <cfRule type="expression" dxfId="5985" priority="312">
      <formula>AND(B$9&gt;=14/24,B$9&lt;20/24)</formula>
    </cfRule>
    <cfRule type="expression" dxfId="5984" priority="313">
      <formula>AND(B$9&gt;=8/24,B$9&lt;14/24)</formula>
    </cfRule>
    <cfRule type="expression" dxfId="5983" priority="314">
      <formula>B$9&lt;8/24</formula>
    </cfRule>
  </conditionalFormatting>
  <conditionalFormatting sqref="B53:B57">
    <cfRule type="expression" dxfId="5982" priority="310">
      <formula>B53&gt;$AG53</formula>
    </cfRule>
  </conditionalFormatting>
  <conditionalFormatting sqref="B100:B106 B96 B86 B47 B67:B69 B72:B74">
    <cfRule type="expression" dxfId="5981" priority="306">
      <formula>B$9&gt;=20/24</formula>
    </cfRule>
    <cfRule type="expression" dxfId="5980" priority="307">
      <formula>AND(B$9&gt;=14/24,B$9&lt;20/24)</formula>
    </cfRule>
    <cfRule type="expression" dxfId="5979" priority="308">
      <formula>AND(B$9&gt;=8/24,B$9&lt;14/24)</formula>
    </cfRule>
    <cfRule type="expression" dxfId="5978" priority="309">
      <formula>B$9&lt;8/24</formula>
    </cfRule>
  </conditionalFormatting>
  <conditionalFormatting sqref="B47 B67:B69">
    <cfRule type="expression" dxfId="5977" priority="305">
      <formula>B47&gt;$AG47</formula>
    </cfRule>
  </conditionalFormatting>
  <conditionalFormatting sqref="B97">
    <cfRule type="expression" dxfId="5976" priority="301">
      <formula>B$9&gt;=20/24</formula>
    </cfRule>
    <cfRule type="expression" dxfId="5975" priority="302">
      <formula>AND(B$9&gt;=14/24,B$9&lt;20/24)</formula>
    </cfRule>
    <cfRule type="expression" dxfId="5974" priority="303">
      <formula>AND(B$9&gt;=8/24,B$9&lt;14/24)</formula>
    </cfRule>
    <cfRule type="expression" dxfId="5973" priority="304">
      <formula>B$9&lt;8/24</formula>
    </cfRule>
  </conditionalFormatting>
  <conditionalFormatting sqref="B46">
    <cfRule type="expression" dxfId="5972" priority="297">
      <formula>B$9&gt;=20/24</formula>
    </cfRule>
    <cfRule type="expression" dxfId="5971" priority="298">
      <formula>AND(B$9&gt;=14/24,B$9&lt;20/24)</formula>
    </cfRule>
    <cfRule type="expression" dxfId="5970" priority="299">
      <formula>AND(B$9&gt;=8/24,B$9&lt;14/24)</formula>
    </cfRule>
    <cfRule type="expression" dxfId="5969" priority="300">
      <formula>B$9&lt;8/24</formula>
    </cfRule>
  </conditionalFormatting>
  <conditionalFormatting sqref="B46">
    <cfRule type="expression" dxfId="5968" priority="296">
      <formula>B46&gt;$AG46</formula>
    </cfRule>
  </conditionalFormatting>
  <conditionalFormatting sqref="B58">
    <cfRule type="expression" dxfId="5967" priority="292">
      <formula>B$9&gt;=20/24</formula>
    </cfRule>
    <cfRule type="expression" dxfId="5966" priority="293">
      <formula>AND(B$9&gt;=14/24,B$9&lt;20/24)</formula>
    </cfRule>
    <cfRule type="expression" dxfId="5965" priority="294">
      <formula>AND(B$9&gt;=8/24,B$9&lt;14/24)</formula>
    </cfRule>
    <cfRule type="expression" dxfId="5964" priority="295">
      <formula>B$9&lt;8/24</formula>
    </cfRule>
  </conditionalFormatting>
  <conditionalFormatting sqref="B58">
    <cfRule type="expression" dxfId="5963" priority="291">
      <formula>B58&gt;$AG58</formula>
    </cfRule>
  </conditionalFormatting>
  <conditionalFormatting sqref="B91:B95">
    <cfRule type="expression" dxfId="5962" priority="287">
      <formula>B$9&gt;=20/24</formula>
    </cfRule>
    <cfRule type="expression" dxfId="5961" priority="288">
      <formula>AND(B$9&gt;=14/24,B$9&lt;20/24)</formula>
    </cfRule>
    <cfRule type="expression" dxfId="5960" priority="289">
      <formula>AND(B$9&gt;=8/24,B$9&lt;14/24)</formula>
    </cfRule>
    <cfRule type="expression" dxfId="5959" priority="290">
      <formula>B$9&lt;8/24</formula>
    </cfRule>
  </conditionalFormatting>
  <conditionalFormatting sqref="B49:B51">
    <cfRule type="expression" dxfId="5958" priority="283">
      <formula>B$9&gt;=20/24</formula>
    </cfRule>
    <cfRule type="expression" dxfId="5957" priority="284">
      <formula>AND(B$9&gt;=14/24,B$9&lt;20/24)</formula>
    </cfRule>
    <cfRule type="expression" dxfId="5956" priority="285">
      <formula>AND(B$9&gt;=8/24,B$9&lt;14/24)</formula>
    </cfRule>
    <cfRule type="expression" dxfId="5955" priority="286">
      <formula>B$9&lt;8/24</formula>
    </cfRule>
  </conditionalFormatting>
  <conditionalFormatting sqref="B49:B51">
    <cfRule type="expression" dxfId="5954" priority="282">
      <formula>B49&gt;$AG49</formula>
    </cfRule>
  </conditionalFormatting>
  <conditionalFormatting sqref="B107">
    <cfRule type="expression" dxfId="5953" priority="278">
      <formula>B$9&gt;=20/24</formula>
    </cfRule>
    <cfRule type="expression" dxfId="5952" priority="279">
      <formula>AND(B$9&gt;=14/24,B$9&lt;20/24)</formula>
    </cfRule>
    <cfRule type="expression" dxfId="5951" priority="280">
      <formula>AND(B$9&gt;=8/24,B$9&lt;14/24)</formula>
    </cfRule>
    <cfRule type="expression" dxfId="5950" priority="281">
      <formula>B$9&lt;8/24</formula>
    </cfRule>
  </conditionalFormatting>
  <conditionalFormatting sqref="B110">
    <cfRule type="expression" dxfId="5949" priority="274">
      <formula>B$9&gt;=20/24</formula>
    </cfRule>
    <cfRule type="expression" dxfId="5948" priority="275">
      <formula>AND(B$9&gt;=14/24,B$9&lt;20/24)</formula>
    </cfRule>
    <cfRule type="expression" dxfId="5947" priority="276">
      <formula>AND(B$9&gt;=8/24,B$9&lt;14/24)</formula>
    </cfRule>
    <cfRule type="expression" dxfId="5946" priority="277">
      <formula>B$9&lt;8/24</formula>
    </cfRule>
  </conditionalFormatting>
  <conditionalFormatting sqref="B83:B85 B75:B76">
    <cfRule type="expression" dxfId="5945" priority="270">
      <formula>B$9&gt;=20/24</formula>
    </cfRule>
    <cfRule type="expression" dxfId="5944" priority="271">
      <formula>AND(B$9&gt;=14/24,B$9&lt;20/24)</formula>
    </cfRule>
    <cfRule type="expression" dxfId="5943" priority="272">
      <formula>AND(B$9&gt;=8/24,B$9&lt;14/24)</formula>
    </cfRule>
    <cfRule type="expression" dxfId="5942" priority="273">
      <formula>B$9&lt;8/24</formula>
    </cfRule>
  </conditionalFormatting>
  <conditionalFormatting sqref="B98 B89 B70 B87">
    <cfRule type="expression" dxfId="5941" priority="266">
      <formula>B$9&gt;=20/24</formula>
    </cfRule>
    <cfRule type="expression" dxfId="5940" priority="267">
      <formula>AND(B$9&gt;=14/24,B$9&lt;20/24)</formula>
    </cfRule>
    <cfRule type="expression" dxfId="5939" priority="268">
      <formula>AND(B$9&gt;=8/24,B$9&lt;14/24)</formula>
    </cfRule>
    <cfRule type="expression" dxfId="5938" priority="269">
      <formula>B$9&lt;8/24</formula>
    </cfRule>
  </conditionalFormatting>
  <conditionalFormatting sqref="B65:B66 B70 B48">
    <cfRule type="expression" dxfId="5937" priority="265">
      <formula>B48&gt;$AG48</formula>
    </cfRule>
  </conditionalFormatting>
  <conditionalFormatting sqref="B82">
    <cfRule type="expression" dxfId="5936" priority="261">
      <formula>B$9&gt;=20/24</formula>
    </cfRule>
    <cfRule type="expression" dxfId="5935" priority="262">
      <formula>AND(B$9&gt;=14/24,B$9&lt;20/24)</formula>
    </cfRule>
    <cfRule type="expression" dxfId="5934" priority="263">
      <formula>AND(B$9&gt;=8/24,B$9&lt;14/24)</formula>
    </cfRule>
    <cfRule type="expression" dxfId="5933" priority="264">
      <formula>B$9&lt;8/24</formula>
    </cfRule>
  </conditionalFormatting>
  <conditionalFormatting sqref="B52">
    <cfRule type="expression" dxfId="5932" priority="257">
      <formula>B$9&gt;=20/24</formula>
    </cfRule>
    <cfRule type="expression" dxfId="5931" priority="258">
      <formula>AND(B$9&gt;=14/24,B$9&lt;20/24)</formula>
    </cfRule>
    <cfRule type="expression" dxfId="5930" priority="259">
      <formula>AND(B$9&gt;=8/24,B$9&lt;14/24)</formula>
    </cfRule>
    <cfRule type="expression" dxfId="5929" priority="260">
      <formula>B$9&lt;8/24</formula>
    </cfRule>
  </conditionalFormatting>
  <conditionalFormatting sqref="B52">
    <cfRule type="expression" dxfId="5928" priority="256">
      <formula>B52&gt;$AG52</formula>
    </cfRule>
  </conditionalFormatting>
  <conditionalFormatting sqref="B59:B64">
    <cfRule type="expression" dxfId="5927" priority="248">
      <formula>B$9&gt;=20/24</formula>
    </cfRule>
    <cfRule type="expression" dxfId="5926" priority="249">
      <formula>AND(B$9&gt;=14/24,B$9&lt;20/24)</formula>
    </cfRule>
    <cfRule type="expression" dxfId="5925" priority="250">
      <formula>AND(B$9&gt;=8/24,B$9&lt;14/24)</formula>
    </cfRule>
    <cfRule type="expression" dxfId="5924" priority="251">
      <formula>B$9&lt;8/24</formula>
    </cfRule>
  </conditionalFormatting>
  <conditionalFormatting sqref="B59:B64">
    <cfRule type="expression" dxfId="5923" priority="247">
      <formula>B59&gt;$AG59</formula>
    </cfRule>
  </conditionalFormatting>
  <conditionalFormatting sqref="B77:B81">
    <cfRule type="expression" dxfId="5922" priority="243">
      <formula>B$9&gt;=20/24</formula>
    </cfRule>
    <cfRule type="expression" dxfId="5921" priority="244">
      <formula>AND(B$9&gt;=14/24,B$9&lt;20/24)</formula>
    </cfRule>
    <cfRule type="expression" dxfId="5920" priority="245">
      <formula>AND(B$9&gt;=8/24,B$9&lt;14/24)</formula>
    </cfRule>
    <cfRule type="expression" dxfId="5919" priority="246">
      <formula>B$9&lt;8/24</formula>
    </cfRule>
  </conditionalFormatting>
  <conditionalFormatting sqref="B11">
    <cfRule type="expression" dxfId="5918" priority="239">
      <formula>B$9&gt;=20/24</formula>
    </cfRule>
    <cfRule type="expression" dxfId="5917" priority="240">
      <formula>AND(B$9&gt;=14/24,B$9&lt;20/24)</formula>
    </cfRule>
    <cfRule type="expression" dxfId="5916" priority="241">
      <formula>AND(B$9&gt;=8/24,B$9&lt;14/24)</formula>
    </cfRule>
    <cfRule type="expression" dxfId="5915" priority="242">
      <formula>B$9&lt;8/24</formula>
    </cfRule>
  </conditionalFormatting>
  <conditionalFormatting sqref="B11">
    <cfRule type="expression" dxfId="5914" priority="238">
      <formula>B11&gt;$AG11</formula>
    </cfRule>
  </conditionalFormatting>
  <conditionalFormatting sqref="B16">
    <cfRule type="expression" dxfId="5913" priority="234">
      <formula>B$9&gt;=20/24</formula>
    </cfRule>
    <cfRule type="expression" dxfId="5912" priority="235">
      <formula>AND(B$9&gt;=14/24,B$9&lt;20/24)</formula>
    </cfRule>
    <cfRule type="expression" dxfId="5911" priority="236">
      <formula>AND(B$9&gt;=8/24,B$9&lt;14/24)</formula>
    </cfRule>
    <cfRule type="expression" dxfId="5910" priority="237">
      <formula>B$9&lt;8/24</formula>
    </cfRule>
  </conditionalFormatting>
  <conditionalFormatting sqref="B16">
    <cfRule type="expression" dxfId="5909" priority="233">
      <formula>B16&gt;$AG16</formula>
    </cfRule>
  </conditionalFormatting>
  <conditionalFormatting sqref="B33">
    <cfRule type="expression" dxfId="5908" priority="229">
      <formula>B$9&gt;=20/24</formula>
    </cfRule>
    <cfRule type="expression" dxfId="5907" priority="230">
      <formula>AND(B$9&gt;=14/24,B$9&lt;20/24)</formula>
    </cfRule>
    <cfRule type="expression" dxfId="5906" priority="231">
      <formula>AND(B$9&gt;=8/24,B$9&lt;14/24)</formula>
    </cfRule>
    <cfRule type="expression" dxfId="5905" priority="232">
      <formula>B$9&lt;8/24</formula>
    </cfRule>
  </conditionalFormatting>
  <conditionalFormatting sqref="B33">
    <cfRule type="expression" dxfId="5904" priority="228">
      <formula>B33&gt;$AG33</formula>
    </cfRule>
  </conditionalFormatting>
  <conditionalFormatting sqref="B44">
    <cfRule type="expression" dxfId="5903" priority="224">
      <formula>B$9&gt;=20/24</formula>
    </cfRule>
    <cfRule type="expression" dxfId="5902" priority="225">
      <formula>AND(B$9&gt;=14/24,B$9&lt;20/24)</formula>
    </cfRule>
    <cfRule type="expression" dxfId="5901" priority="226">
      <formula>AND(B$9&gt;=8/24,B$9&lt;14/24)</formula>
    </cfRule>
    <cfRule type="expression" dxfId="5900" priority="227">
      <formula>B$9&lt;8/24</formula>
    </cfRule>
  </conditionalFormatting>
  <conditionalFormatting sqref="B44">
    <cfRule type="expression" dxfId="5899" priority="223">
      <formula>B44&gt;$AG44</formula>
    </cfRule>
  </conditionalFormatting>
  <conditionalFormatting sqref="B117">
    <cfRule type="expression" dxfId="5898" priority="219">
      <formula>B$9&gt;=20/24</formula>
    </cfRule>
    <cfRule type="expression" dxfId="5897" priority="220">
      <formula>AND(B$9&gt;=14/24,B$9&lt;20/24)</formula>
    </cfRule>
    <cfRule type="expression" dxfId="5896" priority="221">
      <formula>AND(B$9&gt;=8/24,B$9&lt;14/24)</formula>
    </cfRule>
    <cfRule type="expression" dxfId="5895" priority="222">
      <formula>B$9&lt;8/24</formula>
    </cfRule>
  </conditionalFormatting>
  <conditionalFormatting sqref="C109 C111:C116 C17:U32 C12:X15 V17:X17 V19:X32 C34:X42 C45:X45">
    <cfRule type="expression" dxfId="5894" priority="106">
      <formula>C$9&gt;=20/24</formula>
    </cfRule>
    <cfRule type="expression" dxfId="5893" priority="107">
      <formula>AND(C$9&gt;=14/24,C$9&lt;20/24)</formula>
    </cfRule>
    <cfRule type="expression" dxfId="5892" priority="108">
      <formula>AND(C$9&gt;=8/24,C$9&lt;14/24)</formula>
    </cfRule>
    <cfRule type="expression" dxfId="5891" priority="109">
      <formula>C$9&lt;8/24</formula>
    </cfRule>
  </conditionalFormatting>
  <conditionalFormatting sqref="C17:U32 C12:X15 V17:X17 V19:X32 C34:X42 C45:X45">
    <cfRule type="expression" dxfId="5890" priority="105">
      <formula>C12&gt;$AG12</formula>
    </cfRule>
  </conditionalFormatting>
  <conditionalFormatting sqref="C99">
    <cfRule type="expression" dxfId="5889" priority="101">
      <formula>C$9&gt;=20/24</formula>
    </cfRule>
    <cfRule type="expression" dxfId="5888" priority="102">
      <formula>AND(C$9&gt;=14/24,C$9&lt;20/24)</formula>
    </cfRule>
    <cfRule type="expression" dxfId="5887" priority="103">
      <formula>AND(C$9&gt;=8/24,C$9&lt;14/24)</formula>
    </cfRule>
    <cfRule type="expression" dxfId="5886" priority="104">
      <formula>C$9&lt;8/24</formula>
    </cfRule>
  </conditionalFormatting>
  <conditionalFormatting sqref="C54:G57 C71:H71 H56:N57">
    <cfRule type="expression" dxfId="5885" priority="97">
      <formula>C$9&gt;=20/24</formula>
    </cfRule>
    <cfRule type="expression" dxfId="5884" priority="98">
      <formula>AND(C$9&gt;=14/24,C$9&lt;20/24)</formula>
    </cfRule>
    <cfRule type="expression" dxfId="5883" priority="99">
      <formula>AND(C$9&gt;=8/24,C$9&lt;14/24)</formula>
    </cfRule>
    <cfRule type="expression" dxfId="5882" priority="100">
      <formula>C$9&lt;8/24</formula>
    </cfRule>
  </conditionalFormatting>
  <conditionalFormatting sqref="C53:G53">
    <cfRule type="expression" dxfId="5881" priority="93">
      <formula>C$9&gt;=20/24</formula>
    </cfRule>
    <cfRule type="expression" dxfId="5880" priority="94">
      <formula>AND(C$9&gt;=14/24,C$9&lt;20/24)</formula>
    </cfRule>
    <cfRule type="expression" dxfId="5879" priority="95">
      <formula>AND(C$9&gt;=8/24,C$9&lt;14/24)</formula>
    </cfRule>
    <cfRule type="expression" dxfId="5878" priority="96">
      <formula>C$9&lt;8/24</formula>
    </cfRule>
  </conditionalFormatting>
  <conditionalFormatting sqref="C53:G57 H56:N57">
    <cfRule type="expression" dxfId="5877" priority="92">
      <formula>C53&gt;$AG53</formula>
    </cfRule>
  </conditionalFormatting>
  <conditionalFormatting sqref="C100:C106 C96 C86 C47:D47 C67:J69 C72:J74 K74:S74">
    <cfRule type="expression" dxfId="5876" priority="88">
      <formula>C$9&gt;=20/24</formula>
    </cfRule>
    <cfRule type="expression" dxfId="5875" priority="89">
      <formula>AND(C$9&gt;=14/24,C$9&lt;20/24)</formula>
    </cfRule>
    <cfRule type="expression" dxfId="5874" priority="90">
      <formula>AND(C$9&gt;=8/24,C$9&lt;14/24)</formula>
    </cfRule>
    <cfRule type="expression" dxfId="5873" priority="91">
      <formula>C$9&lt;8/24</formula>
    </cfRule>
  </conditionalFormatting>
  <conditionalFormatting sqref="C47:D47 C67:J69">
    <cfRule type="expression" dxfId="5872" priority="87">
      <formula>C47&gt;$AG47</formula>
    </cfRule>
  </conditionalFormatting>
  <conditionalFormatting sqref="C97">
    <cfRule type="expression" dxfId="5871" priority="83">
      <formula>C$9&gt;=20/24</formula>
    </cfRule>
    <cfRule type="expression" dxfId="5870" priority="84">
      <formula>AND(C$9&gt;=14/24,C$9&lt;20/24)</formula>
    </cfRule>
    <cfRule type="expression" dxfId="5869" priority="85">
      <formula>AND(C$9&gt;=8/24,C$9&lt;14/24)</formula>
    </cfRule>
    <cfRule type="expression" dxfId="5868" priority="86">
      <formula>C$9&lt;8/24</formula>
    </cfRule>
  </conditionalFormatting>
  <conditionalFormatting sqref="C46:X46">
    <cfRule type="expression" dxfId="5867" priority="79">
      <formula>C$9&gt;=20/24</formula>
    </cfRule>
    <cfRule type="expression" dxfId="5866" priority="80">
      <formula>AND(C$9&gt;=14/24,C$9&lt;20/24)</formula>
    </cfRule>
    <cfRule type="expression" dxfId="5865" priority="81">
      <formula>AND(C$9&gt;=8/24,C$9&lt;14/24)</formula>
    </cfRule>
    <cfRule type="expression" dxfId="5864" priority="82">
      <formula>C$9&lt;8/24</formula>
    </cfRule>
  </conditionalFormatting>
  <conditionalFormatting sqref="C46:X46">
    <cfRule type="expression" dxfId="5863" priority="78">
      <formula>C46&gt;$AG46</formula>
    </cfRule>
  </conditionalFormatting>
  <conditionalFormatting sqref="C58:N58">
    <cfRule type="expression" dxfId="5862" priority="74">
      <formula>C$9&gt;=20/24</formula>
    </cfRule>
    <cfRule type="expression" dxfId="5861" priority="75">
      <formula>AND(C$9&gt;=14/24,C$9&lt;20/24)</formula>
    </cfRule>
    <cfRule type="expression" dxfId="5860" priority="76">
      <formula>AND(C$9&gt;=8/24,C$9&lt;14/24)</formula>
    </cfRule>
    <cfRule type="expression" dxfId="5859" priority="77">
      <formula>C$9&lt;8/24</formula>
    </cfRule>
  </conditionalFormatting>
  <conditionalFormatting sqref="C58:N58">
    <cfRule type="expression" dxfId="5858" priority="73">
      <formula>C58&gt;$AG58</formula>
    </cfRule>
  </conditionalFormatting>
  <conditionalFormatting sqref="C91:C95">
    <cfRule type="expression" dxfId="5857" priority="69">
      <formula>C$9&gt;=20/24</formula>
    </cfRule>
    <cfRule type="expression" dxfId="5856" priority="70">
      <formula>AND(C$9&gt;=14/24,C$9&lt;20/24)</formula>
    </cfRule>
    <cfRule type="expression" dxfId="5855" priority="71">
      <formula>AND(C$9&gt;=8/24,C$9&lt;14/24)</formula>
    </cfRule>
    <cfRule type="expression" dxfId="5854" priority="72">
      <formula>C$9&lt;8/24</formula>
    </cfRule>
  </conditionalFormatting>
  <conditionalFormatting sqref="C49:L51 M50:N51">
    <cfRule type="expression" dxfId="5853" priority="65">
      <formula>C$9&gt;=20/24</formula>
    </cfRule>
    <cfRule type="expression" dxfId="5852" priority="66">
      <formula>AND(C$9&gt;=14/24,C$9&lt;20/24)</formula>
    </cfRule>
    <cfRule type="expression" dxfId="5851" priority="67">
      <formula>AND(C$9&gt;=8/24,C$9&lt;14/24)</formula>
    </cfRule>
    <cfRule type="expression" dxfId="5850" priority="68">
      <formula>C$9&lt;8/24</formula>
    </cfRule>
  </conditionalFormatting>
  <conditionalFormatting sqref="C49:L51 M50:N51">
    <cfRule type="expression" dxfId="5849" priority="64">
      <formula>C49&gt;$AG49</formula>
    </cfRule>
  </conditionalFormatting>
  <conditionalFormatting sqref="C107">
    <cfRule type="expression" dxfId="5848" priority="60">
      <formula>C$9&gt;=20/24</formula>
    </cfRule>
    <cfRule type="expression" dxfId="5847" priority="61">
      <formula>AND(C$9&gt;=14/24,C$9&lt;20/24)</formula>
    </cfRule>
    <cfRule type="expression" dxfId="5846" priority="62">
      <formula>AND(C$9&gt;=8/24,C$9&lt;14/24)</formula>
    </cfRule>
    <cfRule type="expression" dxfId="5845" priority="63">
      <formula>C$9&lt;8/24</formula>
    </cfRule>
  </conditionalFormatting>
  <conditionalFormatting sqref="C110">
    <cfRule type="expression" dxfId="5844" priority="56">
      <formula>C$9&gt;=20/24</formula>
    </cfRule>
    <cfRule type="expression" dxfId="5843" priority="57">
      <formula>AND(C$9&gt;=14/24,C$9&lt;20/24)</formula>
    </cfRule>
    <cfRule type="expression" dxfId="5842" priority="58">
      <formula>AND(C$9&gt;=8/24,C$9&lt;14/24)</formula>
    </cfRule>
    <cfRule type="expression" dxfId="5841" priority="59">
      <formula>C$9&lt;8/24</formula>
    </cfRule>
  </conditionalFormatting>
  <conditionalFormatting sqref="C83:C85 C75:X76">
    <cfRule type="expression" dxfId="5840" priority="52">
      <formula>C$9&gt;=20/24</formula>
    </cfRule>
    <cfRule type="expression" dxfId="5839" priority="53">
      <formula>AND(C$9&gt;=14/24,C$9&lt;20/24)</formula>
    </cfRule>
    <cfRule type="expression" dxfId="5838" priority="54">
      <formula>AND(C$9&gt;=8/24,C$9&lt;14/24)</formula>
    </cfRule>
    <cfRule type="expression" dxfId="5837" priority="55">
      <formula>C$9&lt;8/24</formula>
    </cfRule>
  </conditionalFormatting>
  <conditionalFormatting sqref="C98 C89 C87 C70:D70">
    <cfRule type="expression" dxfId="5836" priority="48">
      <formula>C$9&gt;=20/24</formula>
    </cfRule>
    <cfRule type="expression" dxfId="5835" priority="49">
      <formula>AND(C$9&gt;=14/24,C$9&lt;20/24)</formula>
    </cfRule>
    <cfRule type="expression" dxfId="5834" priority="50">
      <formula>AND(C$9&gt;=8/24,C$9&lt;14/24)</formula>
    </cfRule>
    <cfRule type="expression" dxfId="5833" priority="51">
      <formula>C$9&lt;8/24</formula>
    </cfRule>
  </conditionalFormatting>
  <conditionalFormatting sqref="C65:D66 C70:D70 C48:D48">
    <cfRule type="expression" dxfId="5832" priority="47">
      <formula>C48&gt;$AG48</formula>
    </cfRule>
  </conditionalFormatting>
  <conditionalFormatting sqref="C82">
    <cfRule type="expression" dxfId="5831" priority="43">
      <formula>C$9&gt;=20/24</formula>
    </cfRule>
    <cfRule type="expression" dxfId="5830" priority="44">
      <formula>AND(C$9&gt;=14/24,C$9&lt;20/24)</formula>
    </cfRule>
    <cfRule type="expression" dxfId="5829" priority="45">
      <formula>AND(C$9&gt;=8/24,C$9&lt;14/24)</formula>
    </cfRule>
    <cfRule type="expression" dxfId="5828" priority="46">
      <formula>C$9&lt;8/24</formula>
    </cfRule>
  </conditionalFormatting>
  <conditionalFormatting sqref="C52:D52">
    <cfRule type="expression" dxfId="5827" priority="39">
      <formula>C$9&gt;=20/24</formula>
    </cfRule>
    <cfRule type="expression" dxfId="5826" priority="40">
      <formula>AND(C$9&gt;=14/24,C$9&lt;20/24)</formula>
    </cfRule>
    <cfRule type="expression" dxfId="5825" priority="41">
      <formula>AND(C$9&gt;=8/24,C$9&lt;14/24)</formula>
    </cfRule>
    <cfRule type="expression" dxfId="5824" priority="42">
      <formula>C$9&lt;8/24</formula>
    </cfRule>
  </conditionalFormatting>
  <conditionalFormatting sqref="C52:D52">
    <cfRule type="expression" dxfId="5823" priority="38">
      <formula>C52&gt;$AG52</formula>
    </cfRule>
  </conditionalFormatting>
  <conditionalFormatting sqref="C59:X64">
    <cfRule type="expression" dxfId="5822" priority="30">
      <formula>C$9&gt;=20/24</formula>
    </cfRule>
    <cfRule type="expression" dxfId="5821" priority="31">
      <formula>AND(C$9&gt;=14/24,C$9&lt;20/24)</formula>
    </cfRule>
    <cfRule type="expression" dxfId="5820" priority="32">
      <formula>AND(C$9&gt;=8/24,C$9&lt;14/24)</formula>
    </cfRule>
    <cfRule type="expression" dxfId="5819" priority="33">
      <formula>C$9&lt;8/24</formula>
    </cfRule>
  </conditionalFormatting>
  <conditionalFormatting sqref="C59:X64">
    <cfRule type="expression" dxfId="5818" priority="29">
      <formula>C59&gt;$AG59</formula>
    </cfRule>
  </conditionalFormatting>
  <conditionalFormatting sqref="C77:X81">
    <cfRule type="expression" dxfId="5817" priority="25">
      <formula>C$9&gt;=20/24</formula>
    </cfRule>
    <cfRule type="expression" dxfId="5816" priority="26">
      <formula>AND(C$9&gt;=14/24,C$9&lt;20/24)</formula>
    </cfRule>
    <cfRule type="expression" dxfId="5815" priority="27">
      <formula>AND(C$9&gt;=8/24,C$9&lt;14/24)</formula>
    </cfRule>
    <cfRule type="expression" dxfId="5814" priority="28">
      <formula>C$9&lt;8/24</formula>
    </cfRule>
  </conditionalFormatting>
  <conditionalFormatting sqref="C11:X11">
    <cfRule type="expression" dxfId="5813" priority="21">
      <formula>C$9&gt;=20/24</formula>
    </cfRule>
    <cfRule type="expression" dxfId="5812" priority="22">
      <formula>AND(C$9&gt;=14/24,C$9&lt;20/24)</formula>
    </cfRule>
    <cfRule type="expression" dxfId="5811" priority="23">
      <formula>AND(C$9&gt;=8/24,C$9&lt;14/24)</formula>
    </cfRule>
    <cfRule type="expression" dxfId="5810" priority="24">
      <formula>C$9&lt;8/24</formula>
    </cfRule>
  </conditionalFormatting>
  <conditionalFormatting sqref="C11:X11">
    <cfRule type="expression" dxfId="5809" priority="20">
      <formula>C11&gt;$AG11</formula>
    </cfRule>
  </conditionalFormatting>
  <conditionalFormatting sqref="C16:X16">
    <cfRule type="expression" dxfId="5808" priority="16">
      <formula>C$9&gt;=20/24</formula>
    </cfRule>
    <cfRule type="expression" dxfId="5807" priority="17">
      <formula>AND(C$9&gt;=14/24,C$9&lt;20/24)</formula>
    </cfRule>
    <cfRule type="expression" dxfId="5806" priority="18">
      <formula>AND(C$9&gt;=8/24,C$9&lt;14/24)</formula>
    </cfRule>
    <cfRule type="expression" dxfId="5805" priority="19">
      <formula>C$9&lt;8/24</formula>
    </cfRule>
  </conditionalFormatting>
  <conditionalFormatting sqref="C16:X16">
    <cfRule type="expression" dxfId="5804" priority="15">
      <formula>C16&gt;$AG16</formula>
    </cfRule>
  </conditionalFormatting>
  <conditionalFormatting sqref="C33:X33">
    <cfRule type="expression" dxfId="5803" priority="11">
      <formula>C$9&gt;=20/24</formula>
    </cfRule>
    <cfRule type="expression" dxfId="5802" priority="12">
      <formula>AND(C$9&gt;=14/24,C$9&lt;20/24)</formula>
    </cfRule>
    <cfRule type="expression" dxfId="5801" priority="13">
      <formula>AND(C$9&gt;=8/24,C$9&lt;14/24)</formula>
    </cfRule>
    <cfRule type="expression" dxfId="5800" priority="14">
      <formula>C$9&lt;8/24</formula>
    </cfRule>
  </conditionalFormatting>
  <conditionalFormatting sqref="C33:X33">
    <cfRule type="expression" dxfId="5799" priority="10">
      <formula>C33&gt;$AG33</formula>
    </cfRule>
  </conditionalFormatting>
  <conditionalFormatting sqref="C44:X44">
    <cfRule type="expression" dxfId="5798" priority="6">
      <formula>C$9&gt;=20/24</formula>
    </cfRule>
    <cfRule type="expression" dxfId="5797" priority="7">
      <formula>AND(C$9&gt;=14/24,C$9&lt;20/24)</formula>
    </cfRule>
    <cfRule type="expression" dxfId="5796" priority="8">
      <formula>AND(C$9&gt;=8/24,C$9&lt;14/24)</formula>
    </cfRule>
    <cfRule type="expression" dxfId="5795" priority="9">
      <formula>C$9&lt;8/24</formula>
    </cfRule>
  </conditionalFormatting>
  <conditionalFormatting sqref="C44:X44">
    <cfRule type="expression" dxfId="5794" priority="5">
      <formula>C44&gt;$AG44</formula>
    </cfRule>
  </conditionalFormatting>
  <conditionalFormatting sqref="C117">
    <cfRule type="expression" dxfId="5793" priority="1">
      <formula>C$9&gt;=20/24</formula>
    </cfRule>
    <cfRule type="expression" dxfId="5792" priority="2">
      <formula>AND(C$9&gt;=14/24,C$9&lt;20/24)</formula>
    </cfRule>
    <cfRule type="expression" dxfId="5791" priority="3">
      <formula>AND(C$9&gt;=8/24,C$9&lt;14/24)</formula>
    </cfRule>
    <cfRule type="expression" dxfId="5790" priority="4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28" id="{4444D333-73FB-4F0F-BD72-0B0494C8079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29" id="{42E07164-44B3-4FCD-ACCA-A19F2AAF61D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30" id="{30E9459C-081F-4E75-B68B-04E38DFADC2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31" id="{EB973B27-00CA-4C5A-9700-3A0DD49BFA6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D90:AF90</xm:sqref>
        </x14:conditionalFormatting>
        <x14:conditionalFormatting xmlns:xm="http://schemas.microsoft.com/office/excel/2006/main">
          <x14:cfRule type="expression" priority="252" id="{0935D13E-BAB3-4E09-B6C3-C12DF99C57F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3" id="{3B0C3159-DD0F-436A-9728-ACCB9949143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4" id="{977E3422-6787-4FDC-98D1-89BF7371FEE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5" id="{8EB3BD23-4A34-438E-9DF4-0F68ACDA833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  <x14:conditionalFormatting xmlns:xm="http://schemas.microsoft.com/office/excel/2006/main">
          <x14:cfRule type="expression" priority="34" id="{80C534B9-A3D9-44AE-92EC-CCE5C58E24A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" id="{AA6C56EA-D05A-4DF1-A70F-968042F529E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3FF68EA3-4FAA-410D-B515-17B0C7BED75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8D8E772E-2D8C-48B7-B3B4-BA1CCBC41A5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8"/>
  <sheetViews>
    <sheetView zoomScale="90" zoomScaleNormal="90" workbookViewId="0">
      <pane ySplit="10" topLeftCell="A51" activePane="bottomLeft" state="frozen"/>
      <selection activeCell="Z85" sqref="Z85"/>
      <selection pane="bottomLeft" activeCell="Y67" sqref="Y6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7.140625" style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2079/11/19</v>
      </c>
      <c r="C4" s="208"/>
      <c r="D4" s="208"/>
      <c r="E4" s="209" t="str">
        <f ca="1">"2079/"&amp;"11/"&amp;INT(MID(CELL("filename",G6),FIND("]",CELL("filename",G6))+1,200))</f>
        <v>2079/11/19</v>
      </c>
      <c r="F4" s="209"/>
      <c r="G4" s="209"/>
      <c r="H4" s="209" t="str">
        <f ca="1">TEXT(E4,"dddd")</f>
        <v>Sunday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506.7</v>
      </c>
      <c r="C5" s="30">
        <f t="shared" si="0"/>
        <v>478.9</v>
      </c>
      <c r="D5" s="30">
        <f t="shared" si="0"/>
        <v>480.6</v>
      </c>
      <c r="E5" s="30">
        <f t="shared" si="0"/>
        <v>486.1</v>
      </c>
      <c r="F5" s="30">
        <f t="shared" si="0"/>
        <v>536.70000000000005</v>
      </c>
      <c r="G5" s="30">
        <f t="shared" si="0"/>
        <v>539.09999999999991</v>
      </c>
      <c r="H5" s="30">
        <f t="shared" si="0"/>
        <v>548</v>
      </c>
      <c r="I5" s="30">
        <f t="shared" si="0"/>
        <v>542.1</v>
      </c>
      <c r="J5" s="30">
        <f t="shared" si="0"/>
        <v>416.09999999999997</v>
      </c>
      <c r="K5" s="30">
        <f t="shared" si="0"/>
        <v>418.6</v>
      </c>
      <c r="L5" s="30">
        <f t="shared" si="0"/>
        <v>419.6</v>
      </c>
      <c r="M5" s="30">
        <f t="shared" si="0"/>
        <v>520.1</v>
      </c>
      <c r="N5" s="30">
        <f t="shared" si="0"/>
        <v>563.5</v>
      </c>
      <c r="O5" s="30">
        <f t="shared" si="0"/>
        <v>557.29999999999995</v>
      </c>
      <c r="P5" s="30">
        <f t="shared" si="0"/>
        <v>554.79999999999995</v>
      </c>
      <c r="Q5" s="30">
        <f t="shared" si="0"/>
        <v>559.20000000000005</v>
      </c>
      <c r="R5" s="30">
        <f t="shared" si="0"/>
        <v>548</v>
      </c>
      <c r="S5" s="30">
        <f t="shared" si="0"/>
        <v>556</v>
      </c>
      <c r="T5" s="30">
        <f t="shared" si="0"/>
        <v>550.29999999999995</v>
      </c>
      <c r="U5" s="30">
        <f t="shared" si="0"/>
        <v>503.1</v>
      </c>
      <c r="V5" s="30">
        <f t="shared" si="0"/>
        <v>550.29999999999995</v>
      </c>
      <c r="W5" s="30">
        <f t="shared" si="0"/>
        <v>550</v>
      </c>
      <c r="X5" s="30">
        <f t="shared" si="0"/>
        <v>529.6</v>
      </c>
      <c r="Y5" s="30">
        <f t="shared" si="0"/>
        <v>455.2</v>
      </c>
      <c r="Z5" s="30">
        <f t="shared" si="0"/>
        <v>481.7</v>
      </c>
      <c r="AA5" s="30">
        <f t="shared" si="0"/>
        <v>554</v>
      </c>
      <c r="AB5" s="30">
        <f t="shared" si="0"/>
        <v>558</v>
      </c>
      <c r="AC5" s="30">
        <f t="shared" si="0"/>
        <v>559</v>
      </c>
      <c r="AD5" s="30">
        <f t="shared" si="0"/>
        <v>535</v>
      </c>
      <c r="AE5" s="30">
        <f t="shared" si="0"/>
        <v>532</v>
      </c>
      <c r="AF5" s="30">
        <f>B82</f>
        <v>445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1496MW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Load=1011</v>
      </c>
      <c r="B7" s="35">
        <f t="shared" ref="B7:AF7" si="1">B89</f>
        <v>1041.8399999999999</v>
      </c>
      <c r="C7" s="35">
        <f t="shared" si="1"/>
        <v>1038.54</v>
      </c>
      <c r="D7" s="35">
        <f t="shared" si="1"/>
        <v>1010.74</v>
      </c>
      <c r="E7" s="35">
        <f t="shared" si="1"/>
        <v>1015.94</v>
      </c>
      <c r="F7" s="35">
        <f t="shared" si="1"/>
        <v>1021.44</v>
      </c>
      <c r="G7" s="35">
        <f t="shared" si="1"/>
        <v>1072.1400000000001</v>
      </c>
      <c r="H7" s="35">
        <f t="shared" si="1"/>
        <v>1145.6399999999999</v>
      </c>
      <c r="I7" s="35">
        <f t="shared" si="1"/>
        <v>1241.54</v>
      </c>
      <c r="J7" s="35">
        <f t="shared" si="1"/>
        <v>1303.1399999999999</v>
      </c>
      <c r="K7" s="35">
        <f t="shared" si="1"/>
        <v>1417.1399999999999</v>
      </c>
      <c r="L7" s="35">
        <f t="shared" si="1"/>
        <v>1485.34</v>
      </c>
      <c r="M7" s="35">
        <f t="shared" si="1"/>
        <v>1496.3400000000001</v>
      </c>
      <c r="N7" s="35">
        <f>N89</f>
        <v>1459.3400000000001</v>
      </c>
      <c r="O7" s="35">
        <f t="shared" si="1"/>
        <v>1428.34</v>
      </c>
      <c r="P7" s="35">
        <f t="shared" si="1"/>
        <v>1348.94</v>
      </c>
      <c r="Q7" s="35">
        <f t="shared" si="1"/>
        <v>1231.54</v>
      </c>
      <c r="R7" s="35">
        <f t="shared" si="1"/>
        <v>1252.8400000000001</v>
      </c>
      <c r="S7" s="35">
        <f t="shared" si="1"/>
        <v>1258.94</v>
      </c>
      <c r="T7" s="35">
        <f t="shared" si="1"/>
        <v>1266.94</v>
      </c>
      <c r="U7" s="35">
        <f t="shared" si="1"/>
        <v>1301.8399999999999</v>
      </c>
      <c r="V7" s="35">
        <f t="shared" si="1"/>
        <v>1281.54</v>
      </c>
      <c r="W7" s="35">
        <f t="shared" si="1"/>
        <v>1438.74</v>
      </c>
      <c r="X7" s="35">
        <f t="shared" si="1"/>
        <v>1443.44</v>
      </c>
      <c r="Y7" s="35">
        <f t="shared" si="1"/>
        <v>1550.2400000000002</v>
      </c>
      <c r="Z7" s="35">
        <f t="shared" si="1"/>
        <v>1517.8400000000001</v>
      </c>
      <c r="AA7" s="35">
        <f t="shared" si="1"/>
        <v>1509.94</v>
      </c>
      <c r="AB7" s="35">
        <f t="shared" si="1"/>
        <v>1433.54</v>
      </c>
      <c r="AC7" s="35">
        <f t="shared" si="1"/>
        <v>1412.54</v>
      </c>
      <c r="AD7" s="35">
        <f t="shared" si="1"/>
        <v>1225.54</v>
      </c>
      <c r="AE7" s="35">
        <f t="shared" si="1"/>
        <v>1166.94</v>
      </c>
      <c r="AF7" s="35">
        <f t="shared" si="1"/>
        <v>1071.94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11</v>
      </c>
      <c r="C12" s="45">
        <v>11</v>
      </c>
      <c r="D12" s="45">
        <v>11</v>
      </c>
      <c r="E12" s="45">
        <v>17</v>
      </c>
      <c r="F12" s="45">
        <v>17</v>
      </c>
      <c r="G12" s="45">
        <v>17</v>
      </c>
      <c r="H12" s="45">
        <v>17</v>
      </c>
      <c r="I12" s="45">
        <v>17</v>
      </c>
      <c r="J12" s="45">
        <v>17</v>
      </c>
      <c r="K12" s="45">
        <v>17</v>
      </c>
      <c r="L12" s="45">
        <v>15.1</v>
      </c>
      <c r="M12" s="45">
        <v>13.1</v>
      </c>
      <c r="N12" s="45">
        <v>13.1</v>
      </c>
      <c r="O12" s="45">
        <v>15.3</v>
      </c>
      <c r="P12" s="45">
        <v>15.2</v>
      </c>
      <c r="Q12" s="45">
        <v>15.2</v>
      </c>
      <c r="R12" s="45">
        <v>15.2</v>
      </c>
      <c r="S12" s="45">
        <v>14</v>
      </c>
      <c r="T12" s="45">
        <v>14</v>
      </c>
      <c r="U12" s="45">
        <v>14</v>
      </c>
      <c r="V12" s="45">
        <v>14</v>
      </c>
      <c r="W12" s="45">
        <v>14</v>
      </c>
      <c r="X12" s="45">
        <v>14</v>
      </c>
      <c r="Y12" s="45">
        <v>14</v>
      </c>
      <c r="Z12" s="45">
        <v>14</v>
      </c>
      <c r="AA12" s="45">
        <v>14</v>
      </c>
      <c r="AB12" s="45">
        <v>14</v>
      </c>
      <c r="AC12" s="45">
        <v>14</v>
      </c>
      <c r="AD12" s="45">
        <v>14</v>
      </c>
      <c r="AE12" s="45">
        <v>15.7</v>
      </c>
      <c r="AF12" s="45">
        <v>15.7</v>
      </c>
      <c r="AG12" s="46">
        <v>52.4</v>
      </c>
      <c r="AH12" s="47">
        <f t="shared" si="2"/>
        <v>17</v>
      </c>
      <c r="AI12" s="48">
        <f t="shared" si="3"/>
        <v>11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</v>
      </c>
      <c r="C13" s="45">
        <v>25</v>
      </c>
      <c r="D13" s="45">
        <v>25</v>
      </c>
      <c r="E13" s="45">
        <v>25</v>
      </c>
      <c r="F13" s="45">
        <v>25</v>
      </c>
      <c r="G13" s="45">
        <v>25</v>
      </c>
      <c r="H13" s="45">
        <v>25</v>
      </c>
      <c r="I13" s="45">
        <v>25</v>
      </c>
      <c r="J13" s="45">
        <v>25</v>
      </c>
      <c r="K13" s="45">
        <v>25</v>
      </c>
      <c r="L13" s="45">
        <v>25</v>
      </c>
      <c r="M13" s="45">
        <v>25</v>
      </c>
      <c r="N13" s="45">
        <v>25</v>
      </c>
      <c r="O13" s="45">
        <v>25</v>
      </c>
      <c r="P13" s="45">
        <v>25</v>
      </c>
      <c r="Q13" s="45">
        <v>25</v>
      </c>
      <c r="R13" s="45">
        <v>25</v>
      </c>
      <c r="S13" s="45">
        <v>25</v>
      </c>
      <c r="T13" s="45">
        <v>25</v>
      </c>
      <c r="U13" s="45">
        <v>25</v>
      </c>
      <c r="V13" s="45">
        <v>25</v>
      </c>
      <c r="W13" s="45">
        <v>25</v>
      </c>
      <c r="X13" s="45">
        <v>25</v>
      </c>
      <c r="Y13" s="45">
        <v>25</v>
      </c>
      <c r="Z13" s="45">
        <v>25</v>
      </c>
      <c r="AA13" s="45">
        <v>25</v>
      </c>
      <c r="AB13" s="45">
        <v>25</v>
      </c>
      <c r="AC13" s="45">
        <v>25</v>
      </c>
      <c r="AD13" s="45">
        <v>25</v>
      </c>
      <c r="AE13" s="45">
        <v>25</v>
      </c>
      <c r="AF13" s="45">
        <v>25</v>
      </c>
      <c r="AG13" s="50">
        <v>50</v>
      </c>
      <c r="AH13" s="47">
        <f t="shared" si="2"/>
        <v>25</v>
      </c>
      <c r="AI13" s="48">
        <f t="shared" si="3"/>
        <v>25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19.2</v>
      </c>
      <c r="C14" s="45">
        <v>19.2</v>
      </c>
      <c r="D14" s="45">
        <v>19.2</v>
      </c>
      <c r="E14" s="45">
        <v>18.7</v>
      </c>
      <c r="F14" s="45">
        <v>18.7</v>
      </c>
      <c r="G14" s="45">
        <v>18.7</v>
      </c>
      <c r="H14" s="45">
        <v>18.7</v>
      </c>
      <c r="I14" s="45">
        <v>18.7</v>
      </c>
      <c r="J14" s="45">
        <v>18.7</v>
      </c>
      <c r="K14" s="45">
        <v>18.7</v>
      </c>
      <c r="L14" s="45">
        <v>15.5</v>
      </c>
      <c r="M14" s="45">
        <v>16.100000000000001</v>
      </c>
      <c r="N14" s="45">
        <v>16.100000000000001</v>
      </c>
      <c r="O14" s="45">
        <v>15.6</v>
      </c>
      <c r="P14" s="45">
        <v>16.100000000000001</v>
      </c>
      <c r="Q14" s="45">
        <v>16.100000000000001</v>
      </c>
      <c r="R14" s="45">
        <v>16.100000000000001</v>
      </c>
      <c r="S14" s="45">
        <v>16.100000000000001</v>
      </c>
      <c r="T14" s="45">
        <v>16.100000000000001</v>
      </c>
      <c r="U14" s="45">
        <v>16.100000000000001</v>
      </c>
      <c r="V14" s="45">
        <v>16.100000000000001</v>
      </c>
      <c r="W14" s="45">
        <v>16.100000000000001</v>
      </c>
      <c r="X14" s="45">
        <v>16.100000000000001</v>
      </c>
      <c r="Y14" s="45">
        <v>19.100000000000001</v>
      </c>
      <c r="Z14" s="45">
        <v>19.100000000000001</v>
      </c>
      <c r="AA14" s="45">
        <v>19.100000000000001</v>
      </c>
      <c r="AB14" s="45">
        <v>19.100000000000001</v>
      </c>
      <c r="AC14" s="45">
        <v>19.100000000000001</v>
      </c>
      <c r="AD14" s="45">
        <v>19.100000000000001</v>
      </c>
      <c r="AE14" s="45">
        <v>19.100000000000001</v>
      </c>
      <c r="AF14" s="45">
        <v>19.100000000000001</v>
      </c>
      <c r="AG14" s="50">
        <v>45</v>
      </c>
      <c r="AH14" s="47">
        <f t="shared" si="2"/>
        <v>19.2</v>
      </c>
      <c r="AI14" s="48">
        <f t="shared" si="3"/>
        <v>15.5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2"/>
        <v>12.5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8.5</v>
      </c>
      <c r="C18" s="45">
        <v>8.5</v>
      </c>
      <c r="D18" s="45">
        <v>8.5</v>
      </c>
      <c r="E18" s="45">
        <v>7.7</v>
      </c>
      <c r="F18" s="45">
        <v>7.7</v>
      </c>
      <c r="G18" s="45">
        <v>7.7</v>
      </c>
      <c r="H18" s="45">
        <v>7.7</v>
      </c>
      <c r="I18" s="45">
        <v>7.7</v>
      </c>
      <c r="J18" s="45">
        <v>7.7</v>
      </c>
      <c r="K18" s="45">
        <v>7.7</v>
      </c>
      <c r="L18" s="45">
        <v>7.6</v>
      </c>
      <c r="M18" s="45">
        <v>7.5</v>
      </c>
      <c r="N18" s="45">
        <v>7.5</v>
      </c>
      <c r="O18" s="45">
        <v>7.5</v>
      </c>
      <c r="P18" s="45">
        <v>7.4</v>
      </c>
      <c r="Q18" s="45">
        <v>7.4</v>
      </c>
      <c r="R18" s="45">
        <v>7.4</v>
      </c>
      <c r="S18" s="45">
        <v>7.4</v>
      </c>
      <c r="T18" s="45">
        <v>7.4</v>
      </c>
      <c r="U18" s="45">
        <v>7.4</v>
      </c>
      <c r="V18" s="45">
        <v>7.4</v>
      </c>
      <c r="W18" s="45">
        <v>7.4</v>
      </c>
      <c r="X18" s="45">
        <v>7.4</v>
      </c>
      <c r="Y18" s="45">
        <v>7.4</v>
      </c>
      <c r="Z18" s="45">
        <v>7.4</v>
      </c>
      <c r="AA18" s="45">
        <v>7.4</v>
      </c>
      <c r="AB18" s="45">
        <v>7.4</v>
      </c>
      <c r="AC18" s="45">
        <v>7.4</v>
      </c>
      <c r="AD18" s="45">
        <v>7.4</v>
      </c>
      <c r="AE18" s="45">
        <v>7.4</v>
      </c>
      <c r="AF18" s="45">
        <v>7.4</v>
      </c>
      <c r="AG18" s="51">
        <v>30</v>
      </c>
      <c r="AH18" s="47">
        <f t="shared" si="2"/>
        <v>8.5</v>
      </c>
      <c r="AI18" s="48">
        <f t="shared" si="3"/>
        <v>7.4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</v>
      </c>
      <c r="C22" s="45">
        <v>8.1</v>
      </c>
      <c r="D22" s="45">
        <v>8.1</v>
      </c>
      <c r="E22" s="45">
        <v>8.1999999999999993</v>
      </c>
      <c r="F22" s="45">
        <v>8.1999999999999993</v>
      </c>
      <c r="G22" s="45">
        <v>8.3000000000000007</v>
      </c>
      <c r="H22" s="45">
        <v>8.3000000000000007</v>
      </c>
      <c r="I22" s="45">
        <v>8.3000000000000007</v>
      </c>
      <c r="J22" s="45">
        <v>8.3000000000000007</v>
      </c>
      <c r="K22" s="45">
        <v>8.3000000000000007</v>
      </c>
      <c r="L22" s="45">
        <v>8.1</v>
      </c>
      <c r="M22" s="45">
        <v>8</v>
      </c>
      <c r="N22" s="45">
        <v>8</v>
      </c>
      <c r="O22" s="45">
        <v>8</v>
      </c>
      <c r="P22" s="45">
        <v>2.1</v>
      </c>
      <c r="Q22" s="45">
        <v>2.1</v>
      </c>
      <c r="R22" s="45">
        <v>2.1</v>
      </c>
      <c r="S22" s="45">
        <v>2.1</v>
      </c>
      <c r="T22" s="45">
        <v>2.1</v>
      </c>
      <c r="U22" s="45">
        <v>2.1</v>
      </c>
      <c r="V22" s="45">
        <v>2.1</v>
      </c>
      <c r="W22" s="45">
        <v>2.1</v>
      </c>
      <c r="X22" s="45">
        <v>2.1</v>
      </c>
      <c r="Y22" s="45">
        <v>2.1</v>
      </c>
      <c r="Z22" s="45">
        <v>2.1</v>
      </c>
      <c r="AA22" s="45">
        <v>2.1</v>
      </c>
      <c r="AB22" s="45">
        <v>2.1</v>
      </c>
      <c r="AC22" s="45">
        <v>2.1</v>
      </c>
      <c r="AD22" s="45">
        <v>2.1</v>
      </c>
      <c r="AE22" s="45">
        <v>2.1</v>
      </c>
      <c r="AF22" s="45">
        <v>2.1</v>
      </c>
      <c r="AG22" s="50">
        <v>25</v>
      </c>
      <c r="AH22" s="47">
        <f t="shared" si="2"/>
        <v>8.3000000000000007</v>
      </c>
      <c r="AI22" s="48">
        <f t="shared" si="3"/>
        <v>2.1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7.2</v>
      </c>
      <c r="C26" s="45">
        <v>7.2</v>
      </c>
      <c r="D26" s="45">
        <v>7.2</v>
      </c>
      <c r="E26" s="45">
        <v>7.2</v>
      </c>
      <c r="F26" s="45">
        <v>7.2</v>
      </c>
      <c r="G26" s="45">
        <v>7.2</v>
      </c>
      <c r="H26" s="45">
        <v>7.2</v>
      </c>
      <c r="I26" s="45">
        <v>7.2</v>
      </c>
      <c r="J26" s="45">
        <v>7.2</v>
      </c>
      <c r="K26" s="45">
        <v>7.2</v>
      </c>
      <c r="L26" s="45">
        <v>7.2</v>
      </c>
      <c r="M26" s="45">
        <v>5.4</v>
      </c>
      <c r="N26" s="45">
        <v>5.4</v>
      </c>
      <c r="O26" s="45">
        <v>5.4</v>
      </c>
      <c r="P26" s="45">
        <v>6.8</v>
      </c>
      <c r="Q26" s="45">
        <v>6.8</v>
      </c>
      <c r="R26" s="45">
        <v>6.8</v>
      </c>
      <c r="S26" s="45">
        <v>6.8</v>
      </c>
      <c r="T26" s="45">
        <v>6.8</v>
      </c>
      <c r="U26" s="45">
        <v>6.8</v>
      </c>
      <c r="V26" s="45">
        <v>6.8</v>
      </c>
      <c r="W26" s="45">
        <v>6.8</v>
      </c>
      <c r="X26" s="45">
        <v>6.8</v>
      </c>
      <c r="Y26" s="45">
        <v>6.8</v>
      </c>
      <c r="Z26" s="45">
        <v>6.8</v>
      </c>
      <c r="AA26" s="45">
        <v>6.8</v>
      </c>
      <c r="AB26" s="45">
        <v>6.8</v>
      </c>
      <c r="AC26" s="45">
        <v>6.8</v>
      </c>
      <c r="AD26" s="45">
        <v>6.8</v>
      </c>
      <c r="AE26" s="45">
        <v>6.8</v>
      </c>
      <c r="AF26" s="45">
        <v>6.8</v>
      </c>
      <c r="AG26" s="50">
        <v>23.5</v>
      </c>
      <c r="AH26" s="47">
        <f t="shared" si="2"/>
        <v>7.2</v>
      </c>
      <c r="AI26" s="48">
        <f t="shared" si="3"/>
        <v>5.4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</v>
      </c>
      <c r="C30" s="45">
        <v>11</v>
      </c>
      <c r="D30" s="45">
        <v>11</v>
      </c>
      <c r="E30" s="45">
        <v>11</v>
      </c>
      <c r="F30" s="45">
        <v>11</v>
      </c>
      <c r="G30" s="45">
        <v>11</v>
      </c>
      <c r="H30" s="45">
        <v>11</v>
      </c>
      <c r="I30" s="45">
        <v>11</v>
      </c>
      <c r="J30" s="45">
        <v>11</v>
      </c>
      <c r="K30" s="45">
        <v>11</v>
      </c>
      <c r="L30" s="45">
        <v>11</v>
      </c>
      <c r="M30" s="45">
        <v>9</v>
      </c>
      <c r="N30" s="45">
        <v>9</v>
      </c>
      <c r="O30" s="45">
        <v>9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8</v>
      </c>
      <c r="AC30" s="45">
        <v>8</v>
      </c>
      <c r="AD30" s="45">
        <v>8</v>
      </c>
      <c r="AE30" s="45">
        <v>8</v>
      </c>
      <c r="AF30" s="45">
        <v>8</v>
      </c>
      <c r="AG30" s="50">
        <v>22</v>
      </c>
      <c r="AH30" s="47">
        <f t="shared" si="2"/>
        <v>11</v>
      </c>
      <c r="AI30" s="48">
        <f t="shared" si="3"/>
        <v>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8.5</v>
      </c>
      <c r="AA42" s="45">
        <v>8.5</v>
      </c>
      <c r="AB42" s="45">
        <v>8.5</v>
      </c>
      <c r="AC42" s="45">
        <v>8.5</v>
      </c>
      <c r="AD42" s="45">
        <v>8.5</v>
      </c>
      <c r="AE42" s="45">
        <v>8.5</v>
      </c>
      <c r="AF42" s="45">
        <v>8.5</v>
      </c>
      <c r="AG42" s="54">
        <v>11</v>
      </c>
      <c r="AH42" s="47">
        <f t="shared" si="2"/>
        <v>8.5</v>
      </c>
      <c r="AI42" s="48">
        <f t="shared" si="3"/>
        <v>8.5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6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" si="4">SUM(B12:B46)</f>
        <v>365.59999999999997</v>
      </c>
      <c r="C48" s="60">
        <f t="shared" ref="C48:AG48" si="5">SUM(C12:C46)</f>
        <v>365.59999999999997</v>
      </c>
      <c r="D48" s="60">
        <f t="shared" si="5"/>
        <v>365.59999999999997</v>
      </c>
      <c r="E48" s="60">
        <f t="shared" si="5"/>
        <v>370.4</v>
      </c>
      <c r="F48" s="60">
        <f t="shared" si="5"/>
        <v>370.4</v>
      </c>
      <c r="G48" s="60">
        <f t="shared" si="5"/>
        <v>370.5</v>
      </c>
      <c r="H48" s="60">
        <f t="shared" si="5"/>
        <v>370.5</v>
      </c>
      <c r="I48" s="60">
        <f t="shared" si="5"/>
        <v>370.5</v>
      </c>
      <c r="J48" s="60">
        <f t="shared" si="5"/>
        <v>370.5</v>
      </c>
      <c r="K48" s="60">
        <f t="shared" si="5"/>
        <v>370.5</v>
      </c>
      <c r="L48" s="60">
        <f t="shared" si="5"/>
        <v>365.09999999999997</v>
      </c>
      <c r="M48" s="60">
        <f t="shared" ref="M48" si="6">SUM(M12:M46)</f>
        <v>359.70000000000005</v>
      </c>
      <c r="N48" s="60">
        <f t="shared" si="5"/>
        <v>359.70000000000005</v>
      </c>
      <c r="O48" s="60">
        <f t="shared" si="5"/>
        <v>361.4</v>
      </c>
      <c r="P48" s="60">
        <f t="shared" ref="P48" si="7">SUM(P12:P46)</f>
        <v>356.20000000000005</v>
      </c>
      <c r="Q48" s="60">
        <f t="shared" si="5"/>
        <v>356.20000000000005</v>
      </c>
      <c r="R48" s="60">
        <f t="shared" si="5"/>
        <v>356.20000000000005</v>
      </c>
      <c r="S48" s="60">
        <f t="shared" si="5"/>
        <v>355</v>
      </c>
      <c r="T48" s="60">
        <f t="shared" ref="T48:U48" si="8">SUM(T12:T46)</f>
        <v>355</v>
      </c>
      <c r="U48" s="60">
        <f t="shared" si="8"/>
        <v>355</v>
      </c>
      <c r="V48" s="60">
        <f t="shared" si="5"/>
        <v>355</v>
      </c>
      <c r="W48" s="60">
        <f t="shared" si="5"/>
        <v>355</v>
      </c>
      <c r="X48" s="60">
        <f t="shared" si="5"/>
        <v>355</v>
      </c>
      <c r="Y48" s="60">
        <v>358</v>
      </c>
      <c r="Z48" s="60">
        <f t="shared" si="5"/>
        <v>358</v>
      </c>
      <c r="AA48" s="60">
        <f t="shared" si="5"/>
        <v>358</v>
      </c>
      <c r="AB48" s="60">
        <f t="shared" si="5"/>
        <v>358</v>
      </c>
      <c r="AC48" s="60">
        <f t="shared" si="5"/>
        <v>358</v>
      </c>
      <c r="AD48" s="60">
        <f t="shared" si="5"/>
        <v>358</v>
      </c>
      <c r="AE48" s="60">
        <f t="shared" si="5"/>
        <v>359.70000000000005</v>
      </c>
      <c r="AF48" s="60">
        <f t="shared" si="5"/>
        <v>359.70000000000005</v>
      </c>
      <c r="AG48" s="61">
        <f t="shared" si="5"/>
        <v>875.68</v>
      </c>
      <c r="AH48" s="47">
        <f t="shared" si="2"/>
        <v>370.5</v>
      </c>
      <c r="AI48" s="48">
        <f t="shared" si="3"/>
        <v>355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15</v>
      </c>
      <c r="I49" s="45">
        <v>45</v>
      </c>
      <c r="J49" s="45">
        <v>55</v>
      </c>
      <c r="K49" s="45">
        <v>160</v>
      </c>
      <c r="L49" s="45">
        <v>205</v>
      </c>
      <c r="M49" s="45">
        <v>220</v>
      </c>
      <c r="N49" s="63">
        <v>137</v>
      </c>
      <c r="O49" s="45">
        <v>90</v>
      </c>
      <c r="P49" s="45">
        <v>80</v>
      </c>
      <c r="Q49" s="45">
        <v>80</v>
      </c>
      <c r="R49" s="45">
        <v>80</v>
      </c>
      <c r="S49" s="45">
        <v>95</v>
      </c>
      <c r="T49" s="45">
        <v>95</v>
      </c>
      <c r="U49" s="45">
        <v>95</v>
      </c>
      <c r="V49" s="45">
        <v>140</v>
      </c>
      <c r="W49" s="45">
        <v>80</v>
      </c>
      <c r="X49" s="45">
        <v>70</v>
      </c>
      <c r="Y49" s="45">
        <v>120</v>
      </c>
      <c r="Z49" s="45">
        <v>170</v>
      </c>
      <c r="AA49" s="45">
        <v>140</v>
      </c>
      <c r="AB49" s="45">
        <v>80</v>
      </c>
      <c r="AC49" s="45">
        <v>70</v>
      </c>
      <c r="AD49" s="45">
        <v>70</v>
      </c>
      <c r="AE49" s="45">
        <v>80</v>
      </c>
      <c r="AF49" s="45">
        <v>15</v>
      </c>
      <c r="AG49" s="51">
        <v>456</v>
      </c>
      <c r="AH49" s="47">
        <f t="shared" si="2"/>
        <v>220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10.7</v>
      </c>
      <c r="C51" s="67">
        <v>10.7</v>
      </c>
      <c r="D51" s="67">
        <v>10.7</v>
      </c>
      <c r="E51" s="67">
        <v>10</v>
      </c>
      <c r="F51" s="67">
        <v>10</v>
      </c>
      <c r="G51" s="67">
        <v>10</v>
      </c>
      <c r="H51" s="67">
        <v>10</v>
      </c>
      <c r="I51" s="67">
        <v>10.1</v>
      </c>
      <c r="J51" s="67">
        <v>10</v>
      </c>
      <c r="K51" s="67">
        <v>10</v>
      </c>
      <c r="L51" s="67">
        <v>10</v>
      </c>
      <c r="M51" s="67">
        <v>10</v>
      </c>
      <c r="N51" s="67">
        <v>10</v>
      </c>
      <c r="O51" s="67">
        <v>10</v>
      </c>
      <c r="P51" s="67">
        <v>10</v>
      </c>
      <c r="Q51" s="67">
        <v>10</v>
      </c>
      <c r="R51" s="67">
        <v>10</v>
      </c>
      <c r="S51" s="67">
        <v>10</v>
      </c>
      <c r="T51" s="67">
        <v>10</v>
      </c>
      <c r="U51" s="67">
        <v>10</v>
      </c>
      <c r="V51" s="67">
        <v>10</v>
      </c>
      <c r="W51" s="67">
        <v>10</v>
      </c>
      <c r="X51" s="67">
        <v>10</v>
      </c>
      <c r="Y51" s="67">
        <v>10</v>
      </c>
      <c r="Z51" s="67">
        <v>10</v>
      </c>
      <c r="AA51" s="67">
        <v>10</v>
      </c>
      <c r="AB51" s="67">
        <v>10</v>
      </c>
      <c r="AC51" s="67">
        <v>10</v>
      </c>
      <c r="AD51" s="67">
        <v>10</v>
      </c>
      <c r="AE51" s="67">
        <v>10</v>
      </c>
      <c r="AF51" s="67">
        <v>10</v>
      </c>
      <c r="AG51" s="68">
        <v>22.1</v>
      </c>
      <c r="AH51" s="47">
        <f t="shared" si="2"/>
        <v>10.7</v>
      </c>
      <c r="AI51" s="48">
        <f t="shared" si="3"/>
        <v>10</v>
      </c>
      <c r="AK51" s="49"/>
    </row>
    <row r="52" spans="1:41" ht="15.75" thickBot="1" x14ac:dyDescent="0.3">
      <c r="A52" s="69" t="s">
        <v>56</v>
      </c>
      <c r="B52" s="60">
        <f t="shared" ref="B52" si="9">SUM(B49:B51)</f>
        <v>37.700000000000003</v>
      </c>
      <c r="C52" s="60">
        <f t="shared" ref="C52:AG52" si="10">SUM(C49:C51)</f>
        <v>37.700000000000003</v>
      </c>
      <c r="D52" s="60">
        <f t="shared" si="10"/>
        <v>37.700000000000003</v>
      </c>
      <c r="E52" s="60">
        <f t="shared" si="10"/>
        <v>37</v>
      </c>
      <c r="F52" s="60">
        <f t="shared" si="10"/>
        <v>37</v>
      </c>
      <c r="G52" s="60">
        <f t="shared" si="10"/>
        <v>37</v>
      </c>
      <c r="H52" s="60">
        <f t="shared" si="10"/>
        <v>52</v>
      </c>
      <c r="I52" s="60">
        <f t="shared" si="10"/>
        <v>82.1</v>
      </c>
      <c r="J52" s="60">
        <f t="shared" si="10"/>
        <v>92</v>
      </c>
      <c r="K52" s="60">
        <f t="shared" si="10"/>
        <v>197</v>
      </c>
      <c r="L52" s="60">
        <f t="shared" si="10"/>
        <v>242</v>
      </c>
      <c r="M52" s="60">
        <f t="shared" ref="M52" si="11">SUM(M49:M51)</f>
        <v>257</v>
      </c>
      <c r="N52" s="60">
        <f t="shared" si="10"/>
        <v>174</v>
      </c>
      <c r="O52" s="60">
        <f t="shared" si="10"/>
        <v>127</v>
      </c>
      <c r="P52" s="60">
        <f t="shared" si="10"/>
        <v>117</v>
      </c>
      <c r="Q52" s="60">
        <f t="shared" si="10"/>
        <v>117</v>
      </c>
      <c r="R52" s="60">
        <f t="shared" si="10"/>
        <v>117</v>
      </c>
      <c r="S52" s="60">
        <f t="shared" si="10"/>
        <v>132</v>
      </c>
      <c r="T52" s="60">
        <f t="shared" ref="T52:U52" si="12">SUM(T49:T51)</f>
        <v>132</v>
      </c>
      <c r="U52" s="60">
        <f t="shared" si="12"/>
        <v>132</v>
      </c>
      <c r="V52" s="60">
        <f t="shared" si="10"/>
        <v>177</v>
      </c>
      <c r="W52" s="60">
        <f t="shared" si="10"/>
        <v>117</v>
      </c>
      <c r="X52" s="60">
        <f t="shared" si="10"/>
        <v>107</v>
      </c>
      <c r="Y52" s="60">
        <v>157</v>
      </c>
      <c r="Z52" s="60">
        <f t="shared" si="10"/>
        <v>207</v>
      </c>
      <c r="AA52" s="60">
        <f t="shared" si="10"/>
        <v>177</v>
      </c>
      <c r="AB52" s="60">
        <f t="shared" si="10"/>
        <v>117</v>
      </c>
      <c r="AC52" s="60">
        <f t="shared" si="10"/>
        <v>107</v>
      </c>
      <c r="AD52" s="60">
        <f t="shared" si="10"/>
        <v>107</v>
      </c>
      <c r="AE52" s="60">
        <f t="shared" si="10"/>
        <v>117</v>
      </c>
      <c r="AF52" s="60">
        <f t="shared" si="10"/>
        <v>52</v>
      </c>
      <c r="AG52" s="61">
        <f t="shared" si="10"/>
        <v>538.1</v>
      </c>
      <c r="AH52" s="47">
        <f t="shared" si="2"/>
        <v>257</v>
      </c>
      <c r="AI52" s="48">
        <f t="shared" si="3"/>
        <v>37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26.5</v>
      </c>
      <c r="I53" s="45">
        <v>61.8</v>
      </c>
      <c r="J53" s="45">
        <v>70</v>
      </c>
      <c r="K53" s="45">
        <v>115.9</v>
      </c>
      <c r="L53" s="45">
        <v>131.9</v>
      </c>
      <c r="M53" s="45">
        <v>132</v>
      </c>
      <c r="N53" s="45">
        <v>102</v>
      </c>
      <c r="O53" s="45">
        <v>91.4</v>
      </c>
      <c r="P53" s="45">
        <v>83.3</v>
      </c>
      <c r="Q53" s="45">
        <v>60.5</v>
      </c>
      <c r="R53" s="45">
        <v>61.6</v>
      </c>
      <c r="S53" s="45">
        <v>71</v>
      </c>
      <c r="T53" s="45">
        <v>71</v>
      </c>
      <c r="U53" s="45">
        <v>71.3</v>
      </c>
      <c r="V53" s="45">
        <v>60</v>
      </c>
      <c r="W53" s="45">
        <v>80</v>
      </c>
      <c r="X53" s="45">
        <v>110</v>
      </c>
      <c r="Y53" s="45">
        <v>132</v>
      </c>
      <c r="Z53" s="45">
        <v>106</v>
      </c>
      <c r="AA53" s="45">
        <v>80</v>
      </c>
      <c r="AB53" s="45">
        <v>48</v>
      </c>
      <c r="AC53" s="45">
        <v>46</v>
      </c>
      <c r="AD53" s="45">
        <v>46</v>
      </c>
      <c r="AE53" s="45">
        <v>46</v>
      </c>
      <c r="AF53" s="45">
        <v>30</v>
      </c>
      <c r="AG53" s="51">
        <v>144</v>
      </c>
      <c r="AH53" s="47">
        <f t="shared" si="2"/>
        <v>132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15.7</v>
      </c>
      <c r="I55" s="65">
        <v>36.200000000000003</v>
      </c>
      <c r="J55" s="65">
        <v>70.599999999999994</v>
      </c>
      <c r="K55" s="65">
        <v>69.7</v>
      </c>
      <c r="L55" s="65">
        <v>69.8</v>
      </c>
      <c r="M55" s="65">
        <v>70.099999999999994</v>
      </c>
      <c r="N55" s="65">
        <v>62.6</v>
      </c>
      <c r="O55" s="65">
        <v>45.6</v>
      </c>
      <c r="P55" s="65">
        <v>45.7</v>
      </c>
      <c r="Q55" s="65">
        <v>32</v>
      </c>
      <c r="R55" s="65">
        <v>46</v>
      </c>
      <c r="S55" s="45">
        <v>22</v>
      </c>
      <c r="T55" s="45">
        <v>22</v>
      </c>
      <c r="U55" s="45">
        <v>22</v>
      </c>
      <c r="V55" s="45">
        <v>22</v>
      </c>
      <c r="W55" s="45">
        <v>22</v>
      </c>
      <c r="X55" s="45">
        <v>22</v>
      </c>
      <c r="Y55" s="45">
        <v>61.7</v>
      </c>
      <c r="Z55" s="45">
        <v>61.7</v>
      </c>
      <c r="AA55" s="45">
        <v>67.599999999999994</v>
      </c>
      <c r="AB55" s="65">
        <v>60</v>
      </c>
      <c r="AC55" s="65">
        <v>53</v>
      </c>
      <c r="AD55" s="65">
        <v>53</v>
      </c>
      <c r="AE55" s="65">
        <v>33</v>
      </c>
      <c r="AF55" s="65">
        <v>22</v>
      </c>
      <c r="AG55" s="54">
        <v>69</v>
      </c>
      <c r="AH55" s="47">
        <f t="shared" si="2"/>
        <v>70.599999999999994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40</v>
      </c>
      <c r="C56" s="65">
        <v>40</v>
      </c>
      <c r="D56" s="65">
        <v>40</v>
      </c>
      <c r="E56" s="56">
        <v>40</v>
      </c>
      <c r="F56" s="56">
        <v>40</v>
      </c>
      <c r="G56" s="56">
        <v>40</v>
      </c>
      <c r="H56" s="56">
        <v>40</v>
      </c>
      <c r="I56" s="56">
        <v>40</v>
      </c>
      <c r="J56" s="56">
        <v>40</v>
      </c>
      <c r="K56" s="56">
        <v>40</v>
      </c>
      <c r="L56" s="56">
        <v>40</v>
      </c>
      <c r="M56" s="56">
        <v>40</v>
      </c>
      <c r="N56" s="56">
        <v>40</v>
      </c>
      <c r="O56" s="65">
        <v>38.5</v>
      </c>
      <c r="P56" s="65">
        <v>38.5</v>
      </c>
      <c r="Q56" s="65">
        <v>38.5</v>
      </c>
      <c r="R56" s="65">
        <v>40.299999999999997</v>
      </c>
      <c r="S56" s="45">
        <v>40</v>
      </c>
      <c r="T56" s="45">
        <v>40</v>
      </c>
      <c r="U56" s="45">
        <v>40</v>
      </c>
      <c r="V56" s="45">
        <v>40</v>
      </c>
      <c r="W56" s="45">
        <v>40</v>
      </c>
      <c r="X56" s="45">
        <v>40</v>
      </c>
      <c r="Y56" s="65">
        <v>38.299999999999997</v>
      </c>
      <c r="Z56" s="65">
        <v>38.299999999999997</v>
      </c>
      <c r="AA56" s="65">
        <v>38.299999999999997</v>
      </c>
      <c r="AB56" s="65">
        <v>38.299999999999997</v>
      </c>
      <c r="AC56" s="65">
        <v>38.299999999999997</v>
      </c>
      <c r="AD56" s="65">
        <v>38.299999999999997</v>
      </c>
      <c r="AE56" s="65">
        <v>38.299999999999997</v>
      </c>
      <c r="AF56" s="65">
        <v>38.299999999999997</v>
      </c>
      <c r="AG56" s="54">
        <v>60</v>
      </c>
      <c r="AH56" s="47">
        <f t="shared" si="2"/>
        <v>40.299999999999997</v>
      </c>
      <c r="AI56" s="48">
        <f t="shared" si="3"/>
        <v>38.299999999999997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56">
        <v>0</v>
      </c>
      <c r="F57" s="56">
        <v>0</v>
      </c>
      <c r="G57" s="56">
        <v>0</v>
      </c>
      <c r="H57" s="56">
        <v>13.9</v>
      </c>
      <c r="I57" s="56">
        <v>15</v>
      </c>
      <c r="J57" s="56">
        <v>30</v>
      </c>
      <c r="K57" s="56">
        <v>30</v>
      </c>
      <c r="L57" s="56">
        <v>30</v>
      </c>
      <c r="M57" s="56">
        <v>30</v>
      </c>
      <c r="N57" s="56">
        <v>13</v>
      </c>
      <c r="O57" s="65">
        <v>13</v>
      </c>
      <c r="P57" s="65">
        <v>13</v>
      </c>
      <c r="Q57" s="65">
        <v>13</v>
      </c>
      <c r="R57" s="65">
        <v>13</v>
      </c>
      <c r="S57" s="65">
        <v>13</v>
      </c>
      <c r="T57" s="65">
        <v>13</v>
      </c>
      <c r="U57" s="65">
        <v>13</v>
      </c>
      <c r="V57" s="65">
        <v>13</v>
      </c>
      <c r="W57" s="65">
        <v>13</v>
      </c>
      <c r="X57" s="65">
        <v>13</v>
      </c>
      <c r="Y57" s="65">
        <v>25</v>
      </c>
      <c r="Z57" s="65">
        <v>25</v>
      </c>
      <c r="AA57" s="65">
        <v>25</v>
      </c>
      <c r="AB57" s="65">
        <v>25</v>
      </c>
      <c r="AC57" s="65">
        <v>15</v>
      </c>
      <c r="AD57" s="65">
        <v>0</v>
      </c>
      <c r="AE57" s="65">
        <v>0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13.5</v>
      </c>
      <c r="C59" s="65">
        <v>13.5</v>
      </c>
      <c r="D59" s="65">
        <v>13.5</v>
      </c>
      <c r="E59" s="65">
        <v>12.9</v>
      </c>
      <c r="F59" s="65">
        <v>12.9</v>
      </c>
      <c r="G59" s="65">
        <v>12.9</v>
      </c>
      <c r="H59" s="65">
        <v>12.9</v>
      </c>
      <c r="I59" s="65">
        <v>12.9</v>
      </c>
      <c r="J59" s="65">
        <v>12.9</v>
      </c>
      <c r="K59" s="65">
        <v>12.9</v>
      </c>
      <c r="L59" s="65">
        <v>12.9</v>
      </c>
      <c r="M59" s="65">
        <v>12.9</v>
      </c>
      <c r="N59" s="65">
        <v>12.9</v>
      </c>
      <c r="O59" s="65">
        <v>12.9</v>
      </c>
      <c r="P59" s="65">
        <v>12.9</v>
      </c>
      <c r="Q59" s="65">
        <v>12.9</v>
      </c>
      <c r="R59" s="65">
        <v>12.9</v>
      </c>
      <c r="S59" s="65">
        <v>12.9</v>
      </c>
      <c r="T59" s="65">
        <v>12.9</v>
      </c>
      <c r="U59" s="65">
        <v>12.9</v>
      </c>
      <c r="V59" s="65">
        <v>12.9</v>
      </c>
      <c r="W59" s="65">
        <v>12.9</v>
      </c>
      <c r="X59" s="65">
        <v>12.9</v>
      </c>
      <c r="Y59" s="65">
        <v>12.9</v>
      </c>
      <c r="Z59" s="65">
        <v>12.9</v>
      </c>
      <c r="AA59" s="65">
        <v>12.9</v>
      </c>
      <c r="AB59" s="65">
        <v>12.9</v>
      </c>
      <c r="AC59" s="65">
        <v>12.9</v>
      </c>
      <c r="AD59" s="65">
        <v>12.9</v>
      </c>
      <c r="AE59" s="65">
        <v>12.9</v>
      </c>
      <c r="AF59" s="65">
        <v>12.9</v>
      </c>
      <c r="AG59" s="54">
        <v>24</v>
      </c>
      <c r="AH59" s="47">
        <f t="shared" si="2"/>
        <v>13.5</v>
      </c>
      <c r="AI59" s="48">
        <f t="shared" si="3"/>
        <v>12.9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3.1</v>
      </c>
      <c r="C62" s="65">
        <v>3.1</v>
      </c>
      <c r="D62" s="65">
        <v>3.1</v>
      </c>
      <c r="E62" s="65">
        <v>3.1</v>
      </c>
      <c r="F62" s="65">
        <v>3.1</v>
      </c>
      <c r="G62" s="65">
        <v>3.1</v>
      </c>
      <c r="H62" s="65">
        <v>3.1</v>
      </c>
      <c r="I62" s="65">
        <v>3.1</v>
      </c>
      <c r="J62" s="65">
        <v>3.1</v>
      </c>
      <c r="K62" s="65">
        <v>3.1</v>
      </c>
      <c r="L62" s="65">
        <v>3.1</v>
      </c>
      <c r="M62" s="65">
        <v>3.1</v>
      </c>
      <c r="N62" s="65">
        <v>3.1</v>
      </c>
      <c r="O62" s="65">
        <v>3.1</v>
      </c>
      <c r="P62" s="65">
        <v>3.1</v>
      </c>
      <c r="Q62" s="65">
        <v>3.1</v>
      </c>
      <c r="R62" s="65">
        <v>3.1</v>
      </c>
      <c r="S62" s="65">
        <v>3.1</v>
      </c>
      <c r="T62" s="65">
        <v>3.1</v>
      </c>
      <c r="U62" s="65">
        <v>3.1</v>
      </c>
      <c r="V62" s="65">
        <v>3.1</v>
      </c>
      <c r="W62" s="65">
        <v>3.1</v>
      </c>
      <c r="X62" s="65">
        <v>3.1</v>
      </c>
      <c r="Y62" s="65">
        <v>3.1</v>
      </c>
      <c r="Z62" s="65">
        <v>3.1</v>
      </c>
      <c r="AA62" s="65">
        <v>3.1</v>
      </c>
      <c r="AB62" s="65">
        <v>3.1</v>
      </c>
      <c r="AC62" s="65">
        <v>3.1</v>
      </c>
      <c r="AD62" s="65">
        <v>3.1</v>
      </c>
      <c r="AE62" s="65">
        <v>3.1</v>
      </c>
      <c r="AF62" s="65">
        <v>3.1</v>
      </c>
      <c r="AG62" s="54">
        <v>14</v>
      </c>
      <c r="AH62" s="47">
        <f t="shared" si="2"/>
        <v>3.1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4.4000000000000004</v>
      </c>
      <c r="C63" s="65">
        <v>4.4000000000000004</v>
      </c>
      <c r="D63" s="65">
        <v>4.4000000000000004</v>
      </c>
      <c r="E63" s="65">
        <v>4.4000000000000004</v>
      </c>
      <c r="F63" s="65">
        <v>4.4000000000000004</v>
      </c>
      <c r="G63" s="65">
        <v>4.4000000000000004</v>
      </c>
      <c r="H63" s="65">
        <v>4.4000000000000004</v>
      </c>
      <c r="I63" s="65">
        <v>4.4000000000000004</v>
      </c>
      <c r="J63" s="65">
        <v>4.4000000000000004</v>
      </c>
      <c r="K63" s="65">
        <v>4.4000000000000004</v>
      </c>
      <c r="L63" s="65">
        <v>4.4000000000000004</v>
      </c>
      <c r="M63" s="65">
        <v>4.4000000000000004</v>
      </c>
      <c r="N63" s="65">
        <v>4.4000000000000004</v>
      </c>
      <c r="O63" s="65">
        <v>4.4000000000000004</v>
      </c>
      <c r="P63" s="65">
        <v>4.4000000000000004</v>
      </c>
      <c r="Q63" s="65">
        <v>4.4000000000000004</v>
      </c>
      <c r="R63" s="65">
        <v>4.4000000000000004</v>
      </c>
      <c r="S63" s="65">
        <v>4.4000000000000004</v>
      </c>
      <c r="T63" s="65">
        <v>4.4000000000000004</v>
      </c>
      <c r="U63" s="65">
        <v>4.4000000000000004</v>
      </c>
      <c r="V63" s="65">
        <v>4.4000000000000004</v>
      </c>
      <c r="W63" s="65">
        <v>4.4000000000000004</v>
      </c>
      <c r="X63" s="65">
        <v>4.4000000000000004</v>
      </c>
      <c r="Y63" s="65">
        <v>4.4000000000000004</v>
      </c>
      <c r="Z63" s="65">
        <v>4.4000000000000004</v>
      </c>
      <c r="AA63" s="65">
        <v>4.4000000000000004</v>
      </c>
      <c r="AB63" s="65">
        <v>4.4000000000000004</v>
      </c>
      <c r="AC63" s="65">
        <v>4.4000000000000004</v>
      </c>
      <c r="AD63" s="65">
        <v>4.4000000000000004</v>
      </c>
      <c r="AE63" s="65">
        <v>4.4000000000000004</v>
      </c>
      <c r="AF63" s="65">
        <v>4.4000000000000004</v>
      </c>
      <c r="AG63" s="54">
        <v>10.050000000000001</v>
      </c>
      <c r="AH63" s="47">
        <f t="shared" si="2"/>
        <v>4.4000000000000004</v>
      </c>
      <c r="AI63" s="48">
        <f t="shared" si="3"/>
        <v>4.4000000000000004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" si="13">SUM(B53:B65)</f>
        <v>78.540000000000006</v>
      </c>
      <c r="C66" s="60">
        <f t="shared" ref="C66:AG66" si="14">SUM(C53:C65)</f>
        <v>78.540000000000006</v>
      </c>
      <c r="D66" s="60">
        <f t="shared" si="14"/>
        <v>78.540000000000006</v>
      </c>
      <c r="E66" s="60">
        <f t="shared" si="14"/>
        <v>77.940000000000012</v>
      </c>
      <c r="F66" s="60">
        <f t="shared" si="14"/>
        <v>77.940000000000012</v>
      </c>
      <c r="G66" s="60">
        <f t="shared" si="14"/>
        <v>77.940000000000012</v>
      </c>
      <c r="H66" s="60">
        <f t="shared" si="14"/>
        <v>134.04</v>
      </c>
      <c r="I66" s="60">
        <f t="shared" si="14"/>
        <v>190.94</v>
      </c>
      <c r="J66" s="60">
        <f t="shared" si="14"/>
        <v>248.54</v>
      </c>
      <c r="K66" s="60">
        <f t="shared" si="14"/>
        <v>293.54000000000002</v>
      </c>
      <c r="L66" s="60">
        <f t="shared" si="14"/>
        <v>309.64</v>
      </c>
      <c r="M66" s="60">
        <f t="shared" ref="M66" si="15">SUM(M53:M65)</f>
        <v>310.04000000000002</v>
      </c>
      <c r="N66" s="60">
        <f t="shared" si="14"/>
        <v>255.54</v>
      </c>
      <c r="O66" s="60">
        <f t="shared" si="14"/>
        <v>226.44</v>
      </c>
      <c r="P66" s="60">
        <f t="shared" si="14"/>
        <v>218.44</v>
      </c>
      <c r="Q66" s="60">
        <f t="shared" si="14"/>
        <v>181.94</v>
      </c>
      <c r="R66" s="60">
        <f t="shared" si="14"/>
        <v>198.83999999999997</v>
      </c>
      <c r="S66" s="60">
        <f t="shared" si="14"/>
        <v>183.94</v>
      </c>
      <c r="T66" s="60">
        <f t="shared" ref="T66:U66" si="16">SUM(T53:T65)</f>
        <v>183.94</v>
      </c>
      <c r="U66" s="60">
        <f t="shared" si="16"/>
        <v>184.24</v>
      </c>
      <c r="V66" s="60">
        <f t="shared" si="14"/>
        <v>172.94</v>
      </c>
      <c r="W66" s="60">
        <f t="shared" si="14"/>
        <v>192.94</v>
      </c>
      <c r="X66" s="60">
        <f t="shared" si="14"/>
        <v>222.94</v>
      </c>
      <c r="Y66" s="60">
        <v>294.94</v>
      </c>
      <c r="Z66" s="60">
        <f t="shared" si="14"/>
        <v>268.94</v>
      </c>
      <c r="AA66" s="60">
        <f t="shared" si="14"/>
        <v>248.83999999999997</v>
      </c>
      <c r="AB66" s="60">
        <f t="shared" si="14"/>
        <v>209.24</v>
      </c>
      <c r="AC66" s="60">
        <f t="shared" si="14"/>
        <v>190.24</v>
      </c>
      <c r="AD66" s="60">
        <f t="shared" si="14"/>
        <v>175.24</v>
      </c>
      <c r="AE66" s="60">
        <f t="shared" si="14"/>
        <v>155.23999999999998</v>
      </c>
      <c r="AF66" s="60">
        <f t="shared" si="14"/>
        <v>128.24</v>
      </c>
      <c r="AG66" s="61">
        <f t="shared" si="14"/>
        <v>489.91</v>
      </c>
      <c r="AH66" s="47">
        <f t="shared" si="2"/>
        <v>310.04000000000002</v>
      </c>
      <c r="AI66" s="48">
        <f t="shared" si="3"/>
        <v>77.940000000000012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14</v>
      </c>
      <c r="R67" s="45">
        <v>14</v>
      </c>
      <c r="S67" s="45">
        <v>25</v>
      </c>
      <c r="T67" s="45">
        <v>25</v>
      </c>
      <c r="U67" s="45">
        <v>50</v>
      </c>
      <c r="V67" s="45">
        <v>50</v>
      </c>
      <c r="W67" s="45">
        <v>50</v>
      </c>
      <c r="X67" s="45">
        <v>35</v>
      </c>
      <c r="Y67" s="45">
        <v>40</v>
      </c>
      <c r="Z67" s="45">
        <v>50</v>
      </c>
      <c r="AA67" s="45">
        <v>60</v>
      </c>
      <c r="AB67" s="45">
        <v>30</v>
      </c>
      <c r="AC67" s="45">
        <v>30</v>
      </c>
      <c r="AD67" s="45">
        <v>14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5.6</v>
      </c>
      <c r="R68" s="65">
        <v>5.6</v>
      </c>
      <c r="S68" s="65">
        <v>11</v>
      </c>
      <c r="T68" s="65">
        <v>11</v>
      </c>
      <c r="U68" s="65">
        <v>22.2</v>
      </c>
      <c r="V68" s="65">
        <v>17.2</v>
      </c>
      <c r="W68" s="65">
        <v>17.2</v>
      </c>
      <c r="X68" s="65">
        <v>17.2</v>
      </c>
      <c r="Y68" s="65">
        <v>15.2</v>
      </c>
      <c r="Z68" s="65">
        <v>21</v>
      </c>
      <c r="AA68" s="65">
        <v>25.2</v>
      </c>
      <c r="AB68" s="65">
        <v>11</v>
      </c>
      <c r="AC68" s="65">
        <v>15</v>
      </c>
      <c r="AD68" s="65">
        <v>9</v>
      </c>
      <c r="AE68" s="65">
        <v>0</v>
      </c>
      <c r="AF68" s="45">
        <v>0</v>
      </c>
      <c r="AG68" s="54">
        <v>32</v>
      </c>
      <c r="AH68" s="47">
        <f t="shared" si="2"/>
        <v>25.2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2</v>
      </c>
      <c r="R69" s="67">
        <v>2</v>
      </c>
      <c r="S69" s="67">
        <v>4</v>
      </c>
      <c r="T69" s="67">
        <v>4</v>
      </c>
      <c r="U69" s="67">
        <v>8.1</v>
      </c>
      <c r="V69" s="67">
        <v>6.3</v>
      </c>
      <c r="W69" s="67">
        <v>6.3</v>
      </c>
      <c r="X69" s="67">
        <v>6.3</v>
      </c>
      <c r="Y69" s="67">
        <v>5.5</v>
      </c>
      <c r="Z69" s="67">
        <v>7.7</v>
      </c>
      <c r="AA69" s="67">
        <v>9.1999999999999993</v>
      </c>
      <c r="AB69" s="67">
        <v>4.3</v>
      </c>
      <c r="AC69" s="67">
        <v>4.3</v>
      </c>
      <c r="AD69" s="67">
        <v>3.3</v>
      </c>
      <c r="AE69" s="67">
        <v>0</v>
      </c>
      <c r="AF69" s="45">
        <v>0</v>
      </c>
      <c r="AG69" s="68">
        <v>14</v>
      </c>
      <c r="AH69" s="47">
        <f t="shared" si="2"/>
        <v>9.1999999999999993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>M67+M68+M69</f>
        <v>0</v>
      </c>
      <c r="N70" s="60">
        <f t="shared" ref="N70:AF70" si="17">N67+N68+N69</f>
        <v>0</v>
      </c>
      <c r="O70" s="60">
        <f t="shared" si="17"/>
        <v>0</v>
      </c>
      <c r="P70" s="60">
        <f t="shared" si="17"/>
        <v>0</v>
      </c>
      <c r="Q70" s="60">
        <f t="shared" si="17"/>
        <v>21.6</v>
      </c>
      <c r="R70" s="60">
        <f t="shared" si="17"/>
        <v>21.6</v>
      </c>
      <c r="S70" s="60">
        <f t="shared" si="17"/>
        <v>40</v>
      </c>
      <c r="T70" s="60">
        <f t="shared" ref="T70:U70" si="18">T67+T68+T69</f>
        <v>40</v>
      </c>
      <c r="U70" s="60">
        <f t="shared" si="18"/>
        <v>80.3</v>
      </c>
      <c r="V70" s="60">
        <f t="shared" si="17"/>
        <v>73.5</v>
      </c>
      <c r="W70" s="60">
        <f t="shared" si="17"/>
        <v>73.5</v>
      </c>
      <c r="X70" s="60">
        <f t="shared" si="17"/>
        <v>58.5</v>
      </c>
      <c r="Y70" s="60">
        <v>60.7</v>
      </c>
      <c r="Z70" s="60">
        <f t="shared" si="17"/>
        <v>78.7</v>
      </c>
      <c r="AA70" s="60">
        <f t="shared" si="17"/>
        <v>94.4</v>
      </c>
      <c r="AB70" s="60">
        <f t="shared" si="17"/>
        <v>45.3</v>
      </c>
      <c r="AC70" s="60">
        <f t="shared" si="17"/>
        <v>49.3</v>
      </c>
      <c r="AD70" s="60">
        <f t="shared" si="17"/>
        <v>26.3</v>
      </c>
      <c r="AE70" s="60">
        <f t="shared" si="17"/>
        <v>0</v>
      </c>
      <c r="AF70" s="60">
        <f t="shared" si="17"/>
        <v>0</v>
      </c>
      <c r="AG70" s="61">
        <f>SUM(AG67:AG69)</f>
        <v>106</v>
      </c>
      <c r="AH70" s="47">
        <f t="shared" si="2"/>
        <v>94.4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64.7</v>
      </c>
      <c r="C71" s="45">
        <v>63</v>
      </c>
      <c r="D71" s="45">
        <v>66.900000000000006</v>
      </c>
      <c r="E71" s="45">
        <v>69.900000000000006</v>
      </c>
      <c r="F71" s="45">
        <v>68.099999999999994</v>
      </c>
      <c r="G71" s="45">
        <v>68</v>
      </c>
      <c r="H71" s="45">
        <v>69.900000000000006</v>
      </c>
      <c r="I71" s="45">
        <v>71</v>
      </c>
      <c r="J71" s="45">
        <v>69.099999999999994</v>
      </c>
      <c r="K71" s="45">
        <v>49.9</v>
      </c>
      <c r="L71" s="45">
        <v>55.6</v>
      </c>
      <c r="M71" s="45">
        <v>50.1</v>
      </c>
      <c r="N71" s="45">
        <v>62</v>
      </c>
      <c r="O71" s="45">
        <v>67.3</v>
      </c>
      <c r="P71" s="45">
        <v>65.900000000000006</v>
      </c>
      <c r="Q71" s="45">
        <v>73</v>
      </c>
      <c r="R71" s="45">
        <v>70.2</v>
      </c>
      <c r="S71" s="45">
        <v>63</v>
      </c>
      <c r="T71" s="45">
        <v>63</v>
      </c>
      <c r="U71" s="45">
        <v>63</v>
      </c>
      <c r="V71" s="45">
        <v>65.8</v>
      </c>
      <c r="W71" s="45">
        <v>68</v>
      </c>
      <c r="X71" s="45">
        <v>67.7</v>
      </c>
      <c r="Y71" s="45">
        <v>52.3</v>
      </c>
      <c r="Z71" s="45">
        <v>65.2</v>
      </c>
      <c r="AA71" s="45">
        <v>61.7</v>
      </c>
      <c r="AB71" s="45">
        <v>67</v>
      </c>
      <c r="AC71" s="45">
        <v>65</v>
      </c>
      <c r="AD71" s="45">
        <v>72</v>
      </c>
      <c r="AE71" s="45">
        <v>63</v>
      </c>
      <c r="AF71" s="45">
        <v>61</v>
      </c>
      <c r="AG71" s="51"/>
      <c r="AH71" s="47">
        <f t="shared" si="2"/>
        <v>73</v>
      </c>
      <c r="AI71" s="48">
        <f t="shared" si="3"/>
        <v>49.9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314.60000000000002</v>
      </c>
      <c r="C73" s="65">
        <v>300</v>
      </c>
      <c r="D73" s="65">
        <v>272</v>
      </c>
      <c r="E73" s="65">
        <v>269.8</v>
      </c>
      <c r="F73" s="65">
        <v>277</v>
      </c>
      <c r="G73" s="65">
        <v>327</v>
      </c>
      <c r="H73" s="65">
        <v>323</v>
      </c>
      <c r="I73" s="65">
        <v>331</v>
      </c>
      <c r="J73" s="65">
        <v>327</v>
      </c>
      <c r="K73" s="65">
        <v>220</v>
      </c>
      <c r="L73" s="65">
        <v>217</v>
      </c>
      <c r="M73" s="65">
        <v>221.4</v>
      </c>
      <c r="N73" s="65">
        <v>310</v>
      </c>
      <c r="O73" s="65">
        <v>351.4</v>
      </c>
      <c r="P73" s="65">
        <v>359.6</v>
      </c>
      <c r="Q73" s="65">
        <v>350</v>
      </c>
      <c r="R73" s="65">
        <v>352</v>
      </c>
      <c r="S73" s="65">
        <v>342</v>
      </c>
      <c r="T73" s="65">
        <v>350</v>
      </c>
      <c r="U73" s="65">
        <v>345</v>
      </c>
      <c r="V73" s="65">
        <v>295</v>
      </c>
      <c r="W73" s="65">
        <v>340</v>
      </c>
      <c r="X73" s="65">
        <v>340</v>
      </c>
      <c r="Y73" s="65">
        <v>335</v>
      </c>
      <c r="Z73" s="65">
        <v>250</v>
      </c>
      <c r="AA73" s="65">
        <v>280</v>
      </c>
      <c r="AB73" s="65">
        <v>337</v>
      </c>
      <c r="AC73" s="65">
        <v>343</v>
      </c>
      <c r="AD73" s="65">
        <v>343</v>
      </c>
      <c r="AE73" s="65">
        <v>328</v>
      </c>
      <c r="AF73" s="65">
        <v>330</v>
      </c>
      <c r="AG73" s="75"/>
      <c r="AH73" s="47">
        <f t="shared" si="2"/>
        <v>359.6</v>
      </c>
      <c r="AI73" s="48">
        <f t="shared" si="3"/>
        <v>217</v>
      </c>
      <c r="AK73" s="49"/>
    </row>
    <row r="74" spans="1:40" x14ac:dyDescent="0.25">
      <c r="A74" s="53" t="s">
        <v>78</v>
      </c>
      <c r="B74" s="65">
        <v>60.7</v>
      </c>
      <c r="C74" s="65">
        <v>60.7</v>
      </c>
      <c r="D74" s="76">
        <v>55</v>
      </c>
      <c r="E74" s="76">
        <v>52.9</v>
      </c>
      <c r="F74" s="76">
        <v>55</v>
      </c>
      <c r="G74" s="76">
        <v>55.7</v>
      </c>
      <c r="H74" s="76">
        <v>55.2</v>
      </c>
      <c r="I74" s="76">
        <v>55</v>
      </c>
      <c r="J74" s="76">
        <v>55</v>
      </c>
      <c r="K74" s="76">
        <v>55.2</v>
      </c>
      <c r="L74" s="76">
        <v>55</v>
      </c>
      <c r="M74" s="76">
        <v>57.1</v>
      </c>
      <c r="N74" s="76">
        <v>57.1</v>
      </c>
      <c r="O74" s="76">
        <v>54.8</v>
      </c>
      <c r="P74" s="76">
        <v>54.8</v>
      </c>
      <c r="Q74" s="76">
        <v>54.8</v>
      </c>
      <c r="R74" s="76">
        <v>60</v>
      </c>
      <c r="S74" s="76">
        <v>66</v>
      </c>
      <c r="T74" s="76">
        <v>66</v>
      </c>
      <c r="U74" s="76">
        <v>65.3</v>
      </c>
      <c r="V74" s="76">
        <v>65.3</v>
      </c>
      <c r="W74" s="76">
        <v>65.3</v>
      </c>
      <c r="X74" s="76">
        <v>65.3</v>
      </c>
      <c r="Y74" s="65">
        <v>65.3</v>
      </c>
      <c r="Z74" s="65">
        <v>63</v>
      </c>
      <c r="AA74" s="65">
        <v>63</v>
      </c>
      <c r="AB74" s="65">
        <v>60</v>
      </c>
      <c r="AC74" s="65">
        <v>60</v>
      </c>
      <c r="AD74" s="65">
        <v>59</v>
      </c>
      <c r="AE74" s="65">
        <v>59</v>
      </c>
      <c r="AF74" s="65">
        <v>58</v>
      </c>
      <c r="AG74" s="75"/>
      <c r="AH74" s="47">
        <f t="shared" si="2"/>
        <v>66</v>
      </c>
      <c r="AI74" s="48">
        <f t="shared" si="3"/>
        <v>52.9</v>
      </c>
      <c r="AK74" s="49"/>
    </row>
    <row r="75" spans="1:40" x14ac:dyDescent="0.25">
      <c r="A75" s="53" t="s">
        <v>79</v>
      </c>
      <c r="B75" s="45">
        <v>0</v>
      </c>
      <c r="C75" s="45">
        <v>83</v>
      </c>
      <c r="D75" s="45">
        <v>85</v>
      </c>
      <c r="E75" s="45">
        <v>88</v>
      </c>
      <c r="F75" s="45">
        <v>86</v>
      </c>
      <c r="G75" s="45">
        <v>86</v>
      </c>
      <c r="H75" s="45">
        <v>86</v>
      </c>
      <c r="I75" s="45">
        <v>86</v>
      </c>
      <c r="J75" s="45">
        <v>86</v>
      </c>
      <c r="K75" s="45">
        <v>86</v>
      </c>
      <c r="L75" s="45">
        <v>86</v>
      </c>
      <c r="M75" s="45">
        <v>86</v>
      </c>
      <c r="N75" s="45">
        <v>86</v>
      </c>
      <c r="O75" s="45">
        <v>85</v>
      </c>
      <c r="P75" s="45">
        <v>72</v>
      </c>
      <c r="Q75" s="45">
        <v>72</v>
      </c>
      <c r="R75" s="45">
        <v>72</v>
      </c>
      <c r="S75" s="45">
        <v>72</v>
      </c>
      <c r="T75" s="45">
        <v>72</v>
      </c>
      <c r="U75" s="45">
        <v>72</v>
      </c>
      <c r="V75" s="45">
        <v>72</v>
      </c>
      <c r="W75" s="45">
        <v>72</v>
      </c>
      <c r="X75" s="45">
        <v>72</v>
      </c>
      <c r="Y75" s="45">
        <v>72</v>
      </c>
      <c r="Z75" s="45">
        <v>72</v>
      </c>
      <c r="AA75" s="45">
        <v>72</v>
      </c>
      <c r="AB75" s="45">
        <v>85</v>
      </c>
      <c r="AC75" s="45">
        <v>85</v>
      </c>
      <c r="AD75" s="45">
        <v>80</v>
      </c>
      <c r="AE75" s="45">
        <v>80</v>
      </c>
      <c r="AF75" s="45">
        <v>83</v>
      </c>
      <c r="AG75" s="75"/>
      <c r="AH75" s="47">
        <f t="shared" ref="AH75:AH117" si="19">MAX(B75:AF75)</f>
        <v>88</v>
      </c>
      <c r="AI75" s="48">
        <f t="shared" ref="AI75:AI117" si="20">MIN(B75:AF75)</f>
        <v>0</v>
      </c>
      <c r="AK75" s="49"/>
    </row>
    <row r="76" spans="1:40" x14ac:dyDescent="0.25">
      <c r="A76" s="53" t="s">
        <v>80</v>
      </c>
      <c r="B76" s="77">
        <v>5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0</v>
      </c>
      <c r="AG76" s="75"/>
      <c r="AH76" s="47">
        <f t="shared" si="19"/>
        <v>5</v>
      </c>
      <c r="AI76" s="48">
        <f t="shared" si="20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9"/>
        <v>0</v>
      </c>
      <c r="AI77" s="48">
        <f t="shared" si="2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9"/>
        <v>0</v>
      </c>
      <c r="AI78" s="48">
        <f t="shared" si="2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9"/>
        <v>0</v>
      </c>
      <c r="AI79" s="48">
        <f t="shared" si="2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9"/>
        <v>0</v>
      </c>
      <c r="AI80" s="48">
        <f t="shared" si="2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9"/>
        <v>0</v>
      </c>
      <c r="AI81" s="48">
        <f t="shared" si="2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21">SUMIF(B71:B81,"&gt;0")</f>
        <v>445</v>
      </c>
      <c r="C82" s="60">
        <f t="shared" ref="C82:AF82" si="22">SUMIF(C71:C81,"&gt;0")</f>
        <v>506.7</v>
      </c>
      <c r="D82" s="60">
        <f t="shared" si="22"/>
        <v>478.9</v>
      </c>
      <c r="E82" s="60">
        <f t="shared" si="22"/>
        <v>480.6</v>
      </c>
      <c r="F82" s="60">
        <f t="shared" si="22"/>
        <v>486.1</v>
      </c>
      <c r="G82" s="60">
        <f t="shared" si="22"/>
        <v>536.70000000000005</v>
      </c>
      <c r="H82" s="60">
        <f t="shared" si="22"/>
        <v>539.09999999999991</v>
      </c>
      <c r="I82" s="60">
        <f t="shared" si="22"/>
        <v>548</v>
      </c>
      <c r="J82" s="60">
        <f t="shared" si="22"/>
        <v>542.1</v>
      </c>
      <c r="K82" s="60">
        <f t="shared" si="22"/>
        <v>416.09999999999997</v>
      </c>
      <c r="L82" s="60">
        <f t="shared" si="22"/>
        <v>418.6</v>
      </c>
      <c r="M82" s="60">
        <f t="shared" ref="M82" si="23">SUMIF(M71:M81,"&gt;0")</f>
        <v>419.6</v>
      </c>
      <c r="N82" s="60">
        <f t="shared" si="22"/>
        <v>520.1</v>
      </c>
      <c r="O82" s="60">
        <f t="shared" si="22"/>
        <v>563.5</v>
      </c>
      <c r="P82" s="60">
        <f t="shared" si="22"/>
        <v>557.29999999999995</v>
      </c>
      <c r="Q82" s="60">
        <f t="shared" si="22"/>
        <v>554.79999999999995</v>
      </c>
      <c r="R82" s="60">
        <f t="shared" si="22"/>
        <v>559.20000000000005</v>
      </c>
      <c r="S82" s="60">
        <f t="shared" si="22"/>
        <v>548</v>
      </c>
      <c r="T82" s="60">
        <f t="shared" ref="T82:U82" si="24">SUMIF(T71:T81,"&gt;0")</f>
        <v>556</v>
      </c>
      <c r="U82" s="60">
        <f t="shared" si="24"/>
        <v>550.29999999999995</v>
      </c>
      <c r="V82" s="60">
        <f t="shared" si="22"/>
        <v>503.1</v>
      </c>
      <c r="W82" s="60">
        <f t="shared" si="22"/>
        <v>550.29999999999995</v>
      </c>
      <c r="X82" s="60">
        <f t="shared" si="22"/>
        <v>550</v>
      </c>
      <c r="Y82" s="60">
        <v>529.6</v>
      </c>
      <c r="Z82" s="60">
        <f t="shared" si="22"/>
        <v>455.2</v>
      </c>
      <c r="AA82" s="60">
        <f t="shared" si="22"/>
        <v>481.7</v>
      </c>
      <c r="AB82" s="60">
        <f t="shared" si="22"/>
        <v>554</v>
      </c>
      <c r="AC82" s="60">
        <f t="shared" si="22"/>
        <v>558</v>
      </c>
      <c r="AD82" s="60">
        <f t="shared" si="22"/>
        <v>559</v>
      </c>
      <c r="AE82" s="60">
        <f t="shared" si="22"/>
        <v>535</v>
      </c>
      <c r="AF82" s="60">
        <f t="shared" si="22"/>
        <v>532</v>
      </c>
      <c r="AG82" s="88">
        <f>SUM(AG71:AG81)</f>
        <v>0</v>
      </c>
      <c r="AH82" s="47">
        <f t="shared" si="19"/>
        <v>563.5</v>
      </c>
      <c r="AI82" s="48">
        <f t="shared" si="20"/>
        <v>416.09999999999997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9"/>
        <v>0</v>
      </c>
      <c r="AI83" s="48">
        <f t="shared" si="2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9"/>
        <v>0</v>
      </c>
      <c r="AI84" s="48">
        <f t="shared" si="2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9"/>
        <v>0</v>
      </c>
      <c r="AI85" s="48">
        <f t="shared" si="2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>
        <v>0</v>
      </c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9"/>
        <v>0</v>
      </c>
      <c r="AI86" s="48">
        <f t="shared" si="20"/>
        <v>0</v>
      </c>
    </row>
    <row r="87" spans="1:40" ht="15.75" thickBot="1" x14ac:dyDescent="0.3">
      <c r="A87" s="74" t="s">
        <v>94</v>
      </c>
      <c r="B87" s="95">
        <f t="shared" ref="B87" si="25">B48+B52+B70+B66+B82+B86</f>
        <v>926.83999999999992</v>
      </c>
      <c r="C87" s="95">
        <f t="shared" ref="C87:AG87" si="26">C48+C52+C70+C66+C82+C86</f>
        <v>988.54</v>
      </c>
      <c r="D87" s="95">
        <f t="shared" si="26"/>
        <v>960.74</v>
      </c>
      <c r="E87" s="95">
        <f t="shared" si="26"/>
        <v>965.94</v>
      </c>
      <c r="F87" s="95">
        <f t="shared" si="26"/>
        <v>971.44</v>
      </c>
      <c r="G87" s="95">
        <f t="shared" si="26"/>
        <v>1022.1400000000001</v>
      </c>
      <c r="H87" s="95">
        <f t="shared" si="26"/>
        <v>1095.6399999999999</v>
      </c>
      <c r="I87" s="95">
        <f t="shared" si="26"/>
        <v>1191.54</v>
      </c>
      <c r="J87" s="95">
        <f t="shared" si="26"/>
        <v>1253.1399999999999</v>
      </c>
      <c r="K87" s="95">
        <f t="shared" si="26"/>
        <v>1277.1399999999999</v>
      </c>
      <c r="L87" s="95">
        <f t="shared" si="26"/>
        <v>1335.34</v>
      </c>
      <c r="M87" s="95">
        <f t="shared" ref="M87" si="27">M48+M52+M70+M66+M82+M86</f>
        <v>1346.3400000000001</v>
      </c>
      <c r="N87" s="95">
        <f t="shared" si="26"/>
        <v>1309.3400000000001</v>
      </c>
      <c r="O87" s="95">
        <f t="shared" si="26"/>
        <v>1278.3399999999999</v>
      </c>
      <c r="P87" s="95">
        <f t="shared" si="26"/>
        <v>1248.94</v>
      </c>
      <c r="Q87" s="95">
        <f t="shared" si="26"/>
        <v>1231.54</v>
      </c>
      <c r="R87" s="95">
        <f t="shared" si="26"/>
        <v>1252.8400000000001</v>
      </c>
      <c r="S87" s="95">
        <f t="shared" si="26"/>
        <v>1258.94</v>
      </c>
      <c r="T87" s="95">
        <f t="shared" ref="T87:U87" si="28">T48+T52+T70+T66+T82+T86</f>
        <v>1266.94</v>
      </c>
      <c r="U87" s="95">
        <f t="shared" si="28"/>
        <v>1301.8399999999999</v>
      </c>
      <c r="V87" s="95">
        <f t="shared" si="26"/>
        <v>1281.54</v>
      </c>
      <c r="W87" s="95">
        <f t="shared" si="26"/>
        <v>1288.74</v>
      </c>
      <c r="X87" s="95">
        <f t="shared" si="26"/>
        <v>1293.44</v>
      </c>
      <c r="Y87" s="95">
        <v>1400.2400000000002</v>
      </c>
      <c r="Z87" s="95">
        <f t="shared" si="26"/>
        <v>1367.8400000000001</v>
      </c>
      <c r="AA87" s="95">
        <f t="shared" si="26"/>
        <v>1359.94</v>
      </c>
      <c r="AB87" s="95">
        <f t="shared" si="26"/>
        <v>1283.54</v>
      </c>
      <c r="AC87" s="95">
        <f t="shared" si="26"/>
        <v>1262.54</v>
      </c>
      <c r="AD87" s="95">
        <f t="shared" si="26"/>
        <v>1225.54</v>
      </c>
      <c r="AE87" s="95">
        <f t="shared" si="26"/>
        <v>1166.94</v>
      </c>
      <c r="AF87" s="95">
        <f t="shared" si="26"/>
        <v>1071.94</v>
      </c>
      <c r="AG87" s="61">
        <f t="shared" si="26"/>
        <v>2065.09</v>
      </c>
      <c r="AH87" s="47">
        <f>MAX(B87:AF87)</f>
        <v>1400.2400000000002</v>
      </c>
      <c r="AI87" s="48">
        <f>MIN(B87:AF87)</f>
        <v>926.83999999999992</v>
      </c>
    </row>
    <row r="88" spans="1:40" ht="15.75" thickBot="1" x14ac:dyDescent="0.3">
      <c r="A88" s="96" t="s">
        <v>95</v>
      </c>
      <c r="B88" s="97">
        <v>115</v>
      </c>
      <c r="C88" s="97">
        <v>50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140</v>
      </c>
      <c r="L88" s="97">
        <v>150</v>
      </c>
      <c r="M88" s="97">
        <v>150</v>
      </c>
      <c r="N88" s="97">
        <v>150</v>
      </c>
      <c r="O88" s="97">
        <v>150</v>
      </c>
      <c r="P88" s="97">
        <v>100</v>
      </c>
      <c r="Q88" s="97"/>
      <c r="R88" s="97"/>
      <c r="S88" s="97"/>
      <c r="T88" s="97"/>
      <c r="U88" s="97"/>
      <c r="V88" s="97"/>
      <c r="W88" s="97">
        <v>150</v>
      </c>
      <c r="X88" s="97">
        <v>150</v>
      </c>
      <c r="Y88" s="97">
        <v>150</v>
      </c>
      <c r="Z88" s="97">
        <v>150</v>
      </c>
      <c r="AA88" s="97">
        <v>150</v>
      </c>
      <c r="AB88" s="97">
        <v>150</v>
      </c>
      <c r="AC88" s="97">
        <v>150</v>
      </c>
      <c r="AD88" s="97"/>
      <c r="AE88" s="97"/>
      <c r="AF88" s="97"/>
      <c r="AG88" s="88"/>
      <c r="AH88" s="47">
        <f t="shared" si="19"/>
        <v>150</v>
      </c>
      <c r="AI88" s="48">
        <f t="shared" si="20"/>
        <v>50</v>
      </c>
    </row>
    <row r="89" spans="1:40" ht="15.75" thickBot="1" x14ac:dyDescent="0.3">
      <c r="A89" s="74" t="s">
        <v>96</v>
      </c>
      <c r="B89" s="95">
        <f t="shared" ref="B89" si="29">B87+B88</f>
        <v>1041.8399999999999</v>
      </c>
      <c r="C89" s="95">
        <f t="shared" ref="C89:AF89" si="30">C87+C88</f>
        <v>1038.54</v>
      </c>
      <c r="D89" s="95">
        <f t="shared" si="30"/>
        <v>1010.74</v>
      </c>
      <c r="E89" s="95">
        <f t="shared" si="30"/>
        <v>1015.94</v>
      </c>
      <c r="F89" s="95">
        <f t="shared" si="30"/>
        <v>1021.44</v>
      </c>
      <c r="G89" s="95">
        <f t="shared" si="30"/>
        <v>1072.1400000000001</v>
      </c>
      <c r="H89" s="95">
        <f t="shared" si="30"/>
        <v>1145.6399999999999</v>
      </c>
      <c r="I89" s="95">
        <f t="shared" si="30"/>
        <v>1241.54</v>
      </c>
      <c r="J89" s="95">
        <f t="shared" si="30"/>
        <v>1303.1399999999999</v>
      </c>
      <c r="K89" s="95">
        <f t="shared" si="30"/>
        <v>1417.1399999999999</v>
      </c>
      <c r="L89" s="95">
        <f t="shared" si="30"/>
        <v>1485.34</v>
      </c>
      <c r="M89" s="95">
        <f t="shared" ref="M89" si="31">M87+M88</f>
        <v>1496.3400000000001</v>
      </c>
      <c r="N89" s="95">
        <f t="shared" si="30"/>
        <v>1459.3400000000001</v>
      </c>
      <c r="O89" s="95">
        <f t="shared" si="30"/>
        <v>1428.34</v>
      </c>
      <c r="P89" s="95">
        <f t="shared" si="30"/>
        <v>1348.94</v>
      </c>
      <c r="Q89" s="95">
        <f t="shared" si="30"/>
        <v>1231.54</v>
      </c>
      <c r="R89" s="95">
        <f t="shared" si="30"/>
        <v>1252.8400000000001</v>
      </c>
      <c r="S89" s="95">
        <f t="shared" si="30"/>
        <v>1258.94</v>
      </c>
      <c r="T89" s="95">
        <f t="shared" ref="T89:U89" si="32">T87+T88</f>
        <v>1266.94</v>
      </c>
      <c r="U89" s="95">
        <f t="shared" si="32"/>
        <v>1301.8399999999999</v>
      </c>
      <c r="V89" s="95">
        <f t="shared" si="30"/>
        <v>1281.54</v>
      </c>
      <c r="W89" s="95">
        <f t="shared" si="30"/>
        <v>1438.74</v>
      </c>
      <c r="X89" s="95">
        <f t="shared" si="30"/>
        <v>1443.44</v>
      </c>
      <c r="Y89" s="95">
        <v>1550.2400000000002</v>
      </c>
      <c r="Z89" s="95">
        <f t="shared" si="30"/>
        <v>1517.8400000000001</v>
      </c>
      <c r="AA89" s="95">
        <f t="shared" si="30"/>
        <v>1509.94</v>
      </c>
      <c r="AB89" s="95">
        <f t="shared" si="30"/>
        <v>1433.54</v>
      </c>
      <c r="AC89" s="95">
        <f t="shared" si="30"/>
        <v>1412.54</v>
      </c>
      <c r="AD89" s="95">
        <f t="shared" si="30"/>
        <v>1225.54</v>
      </c>
      <c r="AE89" s="95">
        <f t="shared" si="30"/>
        <v>1166.94</v>
      </c>
      <c r="AF89" s="95">
        <f t="shared" si="30"/>
        <v>1071.94</v>
      </c>
      <c r="AG89" s="88">
        <f>AG86+AG82+AG70+AG66+AG48+AG88</f>
        <v>1526.99</v>
      </c>
      <c r="AH89" s="47">
        <f t="shared" si="19"/>
        <v>1550.2400000000002</v>
      </c>
      <c r="AI89" s="48">
        <f t="shared" si="20"/>
        <v>1010.74</v>
      </c>
    </row>
    <row r="90" spans="1:40" ht="15.75" thickBot="1" x14ac:dyDescent="0.3">
      <c r="A90" s="74" t="s">
        <v>97</v>
      </c>
      <c r="B90" s="95">
        <f t="shared" ref="B90" si="33">B89-B97</f>
        <v>1041.8399999999999</v>
      </c>
      <c r="C90" s="95">
        <f t="shared" ref="C90:AF90" si="34">C89-C97</f>
        <v>1038.54</v>
      </c>
      <c r="D90" s="95">
        <f t="shared" si="34"/>
        <v>1010.74</v>
      </c>
      <c r="E90" s="95">
        <f t="shared" si="34"/>
        <v>1015.94</v>
      </c>
      <c r="F90" s="95">
        <f t="shared" si="34"/>
        <v>1021.44</v>
      </c>
      <c r="G90" s="95">
        <f t="shared" si="34"/>
        <v>1072.1400000000001</v>
      </c>
      <c r="H90" s="95">
        <f t="shared" si="34"/>
        <v>1145.6399999999999</v>
      </c>
      <c r="I90" s="95">
        <f t="shared" si="34"/>
        <v>1241.54</v>
      </c>
      <c r="J90" s="95">
        <f t="shared" si="34"/>
        <v>1303.1399999999999</v>
      </c>
      <c r="K90" s="95">
        <f t="shared" si="34"/>
        <v>1417.1399999999999</v>
      </c>
      <c r="L90" s="95">
        <f t="shared" si="34"/>
        <v>1485.34</v>
      </c>
      <c r="M90" s="95">
        <f t="shared" ref="M90" si="35">M89-M97</f>
        <v>1496.3400000000001</v>
      </c>
      <c r="N90" s="95">
        <f t="shared" si="34"/>
        <v>1459.3400000000001</v>
      </c>
      <c r="O90" s="95">
        <f t="shared" si="34"/>
        <v>1428.34</v>
      </c>
      <c r="P90" s="95">
        <f t="shared" si="34"/>
        <v>1348.94</v>
      </c>
      <c r="Q90" s="95">
        <f t="shared" si="34"/>
        <v>1231.54</v>
      </c>
      <c r="R90" s="95">
        <f t="shared" si="34"/>
        <v>1252.8400000000001</v>
      </c>
      <c r="S90" s="95">
        <f t="shared" si="34"/>
        <v>1258.94</v>
      </c>
      <c r="T90" s="95">
        <f t="shared" ref="T90:U90" si="36">T89-T97</f>
        <v>1266.94</v>
      </c>
      <c r="U90" s="95">
        <f t="shared" si="36"/>
        <v>1301.8399999999999</v>
      </c>
      <c r="V90" s="95">
        <f t="shared" si="34"/>
        <v>1281.54</v>
      </c>
      <c r="W90" s="95">
        <f t="shared" si="34"/>
        <v>1438.74</v>
      </c>
      <c r="X90" s="95">
        <f t="shared" si="34"/>
        <v>1443.44</v>
      </c>
      <c r="Y90" s="95">
        <v>1550.2400000000002</v>
      </c>
      <c r="Z90" s="95">
        <f t="shared" si="34"/>
        <v>1517.8400000000001</v>
      </c>
      <c r="AA90" s="95">
        <f t="shared" si="34"/>
        <v>1509.94</v>
      </c>
      <c r="AB90" s="95">
        <f t="shared" si="34"/>
        <v>1433.54</v>
      </c>
      <c r="AC90" s="95">
        <f t="shared" si="34"/>
        <v>1412.54</v>
      </c>
      <c r="AD90" s="95">
        <f t="shared" si="34"/>
        <v>1225.54</v>
      </c>
      <c r="AE90" s="95">
        <f t="shared" si="34"/>
        <v>1166.94</v>
      </c>
      <c r="AF90" s="95">
        <f t="shared" si="34"/>
        <v>1071.94</v>
      </c>
      <c r="AG90" s="88"/>
      <c r="AH90" s="47">
        <f t="shared" si="19"/>
        <v>1550.2400000000002</v>
      </c>
      <c r="AI90" s="48">
        <f t="shared" si="20"/>
        <v>1010.74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9"/>
        <v>0</v>
      </c>
      <c r="AI91" s="48">
        <f t="shared" si="2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9"/>
        <v>0</v>
      </c>
      <c r="AI92" s="48">
        <f t="shared" si="2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9"/>
        <v>0</v>
      </c>
      <c r="AI93" s="48">
        <f t="shared" si="2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9"/>
        <v>0</v>
      </c>
      <c r="AI96" s="48">
        <f t="shared" si="2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>
        <v>0</v>
      </c>
      <c r="Z97" s="60"/>
      <c r="AA97" s="60"/>
      <c r="AB97" s="60"/>
      <c r="AC97" s="60"/>
      <c r="AD97" s="60"/>
      <c r="AE97" s="60"/>
      <c r="AF97" s="60"/>
      <c r="AG97" s="88"/>
      <c r="AH97" s="47">
        <f t="shared" si="19"/>
        <v>0</v>
      </c>
      <c r="AI97" s="48">
        <f t="shared" si="20"/>
        <v>0</v>
      </c>
      <c r="AK97" s="49"/>
    </row>
    <row r="98" spans="1:37" ht="15.75" thickBot="1" x14ac:dyDescent="0.3">
      <c r="A98" s="74" t="s">
        <v>102</v>
      </c>
      <c r="B98" s="60">
        <f t="shared" ref="B98" si="37">B82-B97</f>
        <v>445</v>
      </c>
      <c r="C98" s="60">
        <f t="shared" ref="C98:AF98" si="38">C82-C97</f>
        <v>506.7</v>
      </c>
      <c r="D98" s="60">
        <f t="shared" si="38"/>
        <v>478.9</v>
      </c>
      <c r="E98" s="60">
        <f t="shared" si="38"/>
        <v>480.6</v>
      </c>
      <c r="F98" s="60">
        <f t="shared" si="38"/>
        <v>486.1</v>
      </c>
      <c r="G98" s="60">
        <f t="shared" si="38"/>
        <v>536.70000000000005</v>
      </c>
      <c r="H98" s="60">
        <f t="shared" si="38"/>
        <v>539.09999999999991</v>
      </c>
      <c r="I98" s="60">
        <f t="shared" si="38"/>
        <v>548</v>
      </c>
      <c r="J98" s="60">
        <f t="shared" si="38"/>
        <v>542.1</v>
      </c>
      <c r="K98" s="60">
        <f t="shared" si="38"/>
        <v>416.09999999999997</v>
      </c>
      <c r="L98" s="60">
        <f t="shared" si="38"/>
        <v>418.6</v>
      </c>
      <c r="M98" s="60">
        <f t="shared" ref="M98" si="39">M82-M97</f>
        <v>419.6</v>
      </c>
      <c r="N98" s="60">
        <f t="shared" si="38"/>
        <v>520.1</v>
      </c>
      <c r="O98" s="60">
        <f t="shared" si="38"/>
        <v>563.5</v>
      </c>
      <c r="P98" s="60">
        <f t="shared" si="38"/>
        <v>557.29999999999995</v>
      </c>
      <c r="Q98" s="60">
        <f t="shared" si="38"/>
        <v>554.79999999999995</v>
      </c>
      <c r="R98" s="60">
        <f t="shared" si="38"/>
        <v>559.20000000000005</v>
      </c>
      <c r="S98" s="60">
        <f t="shared" si="38"/>
        <v>548</v>
      </c>
      <c r="T98" s="60">
        <f t="shared" ref="T98:U98" si="40">T82-T97</f>
        <v>556</v>
      </c>
      <c r="U98" s="60">
        <f t="shared" si="40"/>
        <v>550.29999999999995</v>
      </c>
      <c r="V98" s="60">
        <f t="shared" si="38"/>
        <v>503.1</v>
      </c>
      <c r="W98" s="60">
        <f t="shared" si="38"/>
        <v>550.29999999999995</v>
      </c>
      <c r="X98" s="60">
        <f t="shared" si="38"/>
        <v>550</v>
      </c>
      <c r="Y98" s="60">
        <v>529.6</v>
      </c>
      <c r="Z98" s="60">
        <f t="shared" si="38"/>
        <v>455.2</v>
      </c>
      <c r="AA98" s="60">
        <f t="shared" si="38"/>
        <v>481.7</v>
      </c>
      <c r="AB98" s="60">
        <f t="shared" si="38"/>
        <v>554</v>
      </c>
      <c r="AC98" s="60">
        <f t="shared" si="38"/>
        <v>558</v>
      </c>
      <c r="AD98" s="60">
        <f t="shared" si="38"/>
        <v>559</v>
      </c>
      <c r="AE98" s="60">
        <f t="shared" si="38"/>
        <v>535</v>
      </c>
      <c r="AF98" s="60">
        <f t="shared" si="38"/>
        <v>532</v>
      </c>
      <c r="AG98" s="88"/>
      <c r="AH98" s="47">
        <f t="shared" si="19"/>
        <v>563.5</v>
      </c>
      <c r="AI98" s="48">
        <f t="shared" si="20"/>
        <v>416.09999999999997</v>
      </c>
    </row>
    <row r="99" spans="1:37" x14ac:dyDescent="0.25">
      <c r="A99" s="100" t="s">
        <v>103</v>
      </c>
      <c r="B99" s="101">
        <v>49.881999999999998</v>
      </c>
      <c r="C99" s="101">
        <v>49.960999999999999</v>
      </c>
      <c r="D99" s="101">
        <v>49.972000000000001</v>
      </c>
      <c r="E99" s="101">
        <v>49.948</v>
      </c>
      <c r="F99" s="101">
        <v>49.981999999999999</v>
      </c>
      <c r="G99" s="101">
        <v>50.024000000000001</v>
      </c>
      <c r="H99" s="101">
        <v>50.05</v>
      </c>
      <c r="I99" s="101">
        <v>49.941000000000003</v>
      </c>
      <c r="J99" s="101">
        <v>50.072000000000003</v>
      </c>
      <c r="K99" s="101">
        <v>50.039000000000001</v>
      </c>
      <c r="L99" s="101">
        <v>50.036000000000001</v>
      </c>
      <c r="M99" s="101">
        <v>50.06</v>
      </c>
      <c r="N99" s="101">
        <v>49.962000000000003</v>
      </c>
      <c r="O99" s="101">
        <v>50.03</v>
      </c>
      <c r="P99" s="101">
        <v>49.98</v>
      </c>
      <c r="Q99" s="101">
        <v>50.085000000000001</v>
      </c>
      <c r="R99" s="101">
        <v>50.042000000000002</v>
      </c>
      <c r="S99" s="101">
        <v>49.96</v>
      </c>
      <c r="T99" s="101">
        <v>49.96</v>
      </c>
      <c r="U99" s="101">
        <v>49.96</v>
      </c>
      <c r="V99" s="101">
        <v>50.1</v>
      </c>
      <c r="W99" s="101">
        <v>50.1</v>
      </c>
      <c r="X99" s="101">
        <v>49.99</v>
      </c>
      <c r="Y99" s="101">
        <v>49.92</v>
      </c>
      <c r="Z99" s="101">
        <v>49.98</v>
      </c>
      <c r="AA99" s="101">
        <v>50.03</v>
      </c>
      <c r="AB99" s="101">
        <v>50.113999999999997</v>
      </c>
      <c r="AC99" s="101">
        <v>50.098999999999997</v>
      </c>
      <c r="AD99" s="101">
        <v>50.09</v>
      </c>
      <c r="AE99" s="101">
        <v>50</v>
      </c>
      <c r="AF99" s="101">
        <v>50</v>
      </c>
      <c r="AG99" s="102"/>
      <c r="AH99" s="47">
        <f t="shared" si="19"/>
        <v>50.113999999999997</v>
      </c>
      <c r="AI99" s="48">
        <f t="shared" si="20"/>
        <v>49.881999999999998</v>
      </c>
    </row>
    <row r="100" spans="1:37" x14ac:dyDescent="0.25">
      <c r="A100" s="103" t="s">
        <v>104</v>
      </c>
      <c r="B100" s="65">
        <v>129.19999999999999</v>
      </c>
      <c r="C100" s="65">
        <v>130.19999999999999</v>
      </c>
      <c r="D100" s="65">
        <v>131.4</v>
      </c>
      <c r="E100" s="65">
        <v>131.1</v>
      </c>
      <c r="F100" s="65">
        <v>131.30000000000001</v>
      </c>
      <c r="G100" s="65">
        <v>129.30000000000001</v>
      </c>
      <c r="H100" s="65">
        <v>128.9</v>
      </c>
      <c r="I100" s="65">
        <v>127</v>
      </c>
      <c r="J100" s="65">
        <v>126.2</v>
      </c>
      <c r="K100" s="65">
        <v>126.6</v>
      </c>
      <c r="L100" s="65">
        <v>125.9</v>
      </c>
      <c r="M100" s="65">
        <v>125.7</v>
      </c>
      <c r="N100" s="65">
        <v>127.5</v>
      </c>
      <c r="O100" s="65">
        <v>126.4</v>
      </c>
      <c r="P100" s="65">
        <v>126.5</v>
      </c>
      <c r="Q100" s="65">
        <v>126.2</v>
      </c>
      <c r="R100" s="65">
        <v>126.5</v>
      </c>
      <c r="S100" s="65">
        <v>126</v>
      </c>
      <c r="T100" s="65">
        <v>126</v>
      </c>
      <c r="U100" s="65">
        <v>126</v>
      </c>
      <c r="V100" s="65">
        <v>127.8</v>
      </c>
      <c r="W100" s="65">
        <v>127.8</v>
      </c>
      <c r="X100" s="65">
        <v>128</v>
      </c>
      <c r="Y100" s="65">
        <v>126.9</v>
      </c>
      <c r="Z100" s="65">
        <v>129</v>
      </c>
      <c r="AA100" s="65">
        <v>129.69999999999999</v>
      </c>
      <c r="AB100" s="65">
        <v>130.1</v>
      </c>
      <c r="AC100" s="65">
        <v>129.5</v>
      </c>
      <c r="AD100" s="65">
        <v>130</v>
      </c>
      <c r="AE100" s="65">
        <v>128</v>
      </c>
      <c r="AF100" s="65">
        <v>130</v>
      </c>
      <c r="AG100" s="104"/>
      <c r="AH100" s="47">
        <f t="shared" si="19"/>
        <v>131.4</v>
      </c>
      <c r="AI100" s="48">
        <f t="shared" si="20"/>
        <v>125.7</v>
      </c>
    </row>
    <row r="101" spans="1:37" x14ac:dyDescent="0.25">
      <c r="A101" s="103" t="s">
        <v>105</v>
      </c>
      <c r="B101" s="65">
        <v>132.5</v>
      </c>
      <c r="C101" s="65">
        <v>133.5</v>
      </c>
      <c r="D101" s="65">
        <v>134.5</v>
      </c>
      <c r="E101" s="65">
        <v>134.19999999999999</v>
      </c>
      <c r="F101" s="65">
        <v>134.4</v>
      </c>
      <c r="G101" s="65">
        <v>132.5</v>
      </c>
      <c r="H101" s="65">
        <v>132</v>
      </c>
      <c r="I101" s="65">
        <v>130.1</v>
      </c>
      <c r="J101" s="65">
        <v>129.1</v>
      </c>
      <c r="K101" s="65">
        <v>128.69999999999999</v>
      </c>
      <c r="L101" s="65">
        <v>128.30000000000001</v>
      </c>
      <c r="M101" s="65">
        <v>128.30000000000001</v>
      </c>
      <c r="N101" s="65">
        <v>130.30000000000001</v>
      </c>
      <c r="O101" s="65">
        <v>129.4</v>
      </c>
      <c r="P101" s="65">
        <v>129.5</v>
      </c>
      <c r="Q101" s="65">
        <v>129</v>
      </c>
      <c r="R101" s="65">
        <v>129.30000000000001</v>
      </c>
      <c r="S101" s="65">
        <v>129</v>
      </c>
      <c r="T101" s="65">
        <v>129</v>
      </c>
      <c r="U101" s="65">
        <v>129</v>
      </c>
      <c r="V101" s="65">
        <v>130.19999999999999</v>
      </c>
      <c r="W101" s="65">
        <v>130.19999999999999</v>
      </c>
      <c r="X101" s="65">
        <v>130.6</v>
      </c>
      <c r="Y101" s="65">
        <v>129.5</v>
      </c>
      <c r="Z101" s="65">
        <v>131.4</v>
      </c>
      <c r="AA101" s="65">
        <v>132.1</v>
      </c>
      <c r="AB101" s="65">
        <v>132.4</v>
      </c>
      <c r="AC101" s="65">
        <v>132.1</v>
      </c>
      <c r="AD101" s="65">
        <v>132</v>
      </c>
      <c r="AE101" s="65">
        <v>131</v>
      </c>
      <c r="AF101" s="65">
        <v>133</v>
      </c>
      <c r="AG101" s="104"/>
      <c r="AH101" s="47">
        <f t="shared" si="19"/>
        <v>134.5</v>
      </c>
      <c r="AI101" s="48">
        <f t="shared" si="20"/>
        <v>128.30000000000001</v>
      </c>
    </row>
    <row r="102" spans="1:37" x14ac:dyDescent="0.25">
      <c r="A102" s="103" t="s">
        <v>106</v>
      </c>
      <c r="B102" s="65">
        <v>130.19999999999999</v>
      </c>
      <c r="C102" s="65">
        <v>129.19999999999999</v>
      </c>
      <c r="D102" s="65">
        <v>130.19999999999999</v>
      </c>
      <c r="E102" s="65">
        <v>129</v>
      </c>
      <c r="F102" s="65">
        <v>130.30000000000001</v>
      </c>
      <c r="G102" s="65">
        <v>130.69999999999999</v>
      </c>
      <c r="H102" s="65">
        <v>130</v>
      </c>
      <c r="I102" s="65">
        <v>127.1</v>
      </c>
      <c r="J102" s="65">
        <v>127</v>
      </c>
      <c r="K102" s="65">
        <v>126.6</v>
      </c>
      <c r="L102" s="65">
        <v>125.8</v>
      </c>
      <c r="M102" s="65">
        <v>127.1</v>
      </c>
      <c r="N102" s="65">
        <v>126.6</v>
      </c>
      <c r="O102" s="65">
        <v>127.4</v>
      </c>
      <c r="P102" s="65">
        <v>129.19999999999999</v>
      </c>
      <c r="Q102" s="65">
        <v>127.8</v>
      </c>
      <c r="R102" s="65">
        <v>128</v>
      </c>
      <c r="S102" s="65">
        <v>127</v>
      </c>
      <c r="T102" s="65">
        <v>127</v>
      </c>
      <c r="U102" s="65">
        <v>127</v>
      </c>
      <c r="V102" s="65">
        <v>131.5</v>
      </c>
      <c r="W102" s="65">
        <v>131.5</v>
      </c>
      <c r="X102" s="65">
        <v>127.2</v>
      </c>
      <c r="Y102" s="65">
        <v>125.8</v>
      </c>
      <c r="Z102" s="65">
        <v>130.9</v>
      </c>
      <c r="AA102" s="65">
        <v>129.6</v>
      </c>
      <c r="AB102" s="65">
        <v>129.30000000000001</v>
      </c>
      <c r="AC102" s="65">
        <v>129</v>
      </c>
      <c r="AD102" s="65">
        <v>131</v>
      </c>
      <c r="AE102" s="65">
        <v>129</v>
      </c>
      <c r="AF102" s="65">
        <v>129</v>
      </c>
      <c r="AG102" s="104"/>
      <c r="AH102" s="47">
        <f t="shared" si="19"/>
        <v>131.5</v>
      </c>
      <c r="AI102" s="48">
        <f t="shared" si="20"/>
        <v>125.8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9"/>
        <v>0</v>
      </c>
      <c r="AI103" s="48">
        <f t="shared" si="20"/>
        <v>0</v>
      </c>
    </row>
    <row r="104" spans="1:37" x14ac:dyDescent="0.25">
      <c r="A104" s="105" t="s">
        <v>108</v>
      </c>
      <c r="B104" s="106">
        <v>130.9</v>
      </c>
      <c r="C104" s="106">
        <v>133.6</v>
      </c>
      <c r="D104" s="106">
        <v>134.69999999999999</v>
      </c>
      <c r="E104" s="106">
        <v>131.19999999999999</v>
      </c>
      <c r="F104" s="106">
        <v>134.4</v>
      </c>
      <c r="G104" s="106">
        <v>132.30000000000001</v>
      </c>
      <c r="H104" s="106">
        <v>133.80000000000001</v>
      </c>
      <c r="I104" s="106">
        <v>132.80000000000001</v>
      </c>
      <c r="J104" s="106">
        <v>133.4</v>
      </c>
      <c r="K104" s="106">
        <v>135.80000000000001</v>
      </c>
      <c r="L104" s="106">
        <v>136.1</v>
      </c>
      <c r="M104" s="106">
        <v>134.69999999999999</v>
      </c>
      <c r="N104" s="106">
        <v>134.19999999999999</v>
      </c>
      <c r="O104" s="106">
        <v>134.5</v>
      </c>
      <c r="P104" s="106">
        <v>134.19999999999999</v>
      </c>
      <c r="Q104" s="106">
        <v>131.69999999999999</v>
      </c>
      <c r="R104" s="106">
        <v>134.19999999999999</v>
      </c>
      <c r="S104" s="106">
        <v>1344</v>
      </c>
      <c r="T104" s="106">
        <v>1344</v>
      </c>
      <c r="U104" s="106">
        <v>1344</v>
      </c>
      <c r="V104" s="106">
        <v>134.9</v>
      </c>
      <c r="W104" s="106">
        <v>134.9</v>
      </c>
      <c r="X104" s="106">
        <v>133.19999999999999</v>
      </c>
      <c r="Y104" s="106">
        <v>133.6</v>
      </c>
      <c r="Z104" s="106">
        <v>135</v>
      </c>
      <c r="AA104" s="106">
        <v>136.4</v>
      </c>
      <c r="AB104" s="106">
        <v>136.30000000000001</v>
      </c>
      <c r="AC104" s="106">
        <v>135</v>
      </c>
      <c r="AD104" s="106">
        <v>136</v>
      </c>
      <c r="AE104" s="106">
        <v>132</v>
      </c>
      <c r="AF104" s="106">
        <v>133</v>
      </c>
      <c r="AG104" s="107"/>
      <c r="AH104" s="47">
        <f t="shared" si="19"/>
        <v>1344</v>
      </c>
      <c r="AI104" s="48">
        <f t="shared" si="20"/>
        <v>130.9</v>
      </c>
    </row>
    <row r="105" spans="1:37" x14ac:dyDescent="0.25">
      <c r="A105" s="103" t="s">
        <v>109</v>
      </c>
      <c r="B105" s="65">
        <v>135</v>
      </c>
      <c r="C105" s="65">
        <v>137.6</v>
      </c>
      <c r="D105" s="65">
        <v>133.1</v>
      </c>
      <c r="E105" s="65">
        <v>129.80000000000001</v>
      </c>
      <c r="F105" s="65">
        <v>132.80000000000001</v>
      </c>
      <c r="G105" s="65">
        <v>135.80000000000001</v>
      </c>
      <c r="H105" s="65">
        <v>129.9</v>
      </c>
      <c r="I105" s="65">
        <v>129.19999999999999</v>
      </c>
      <c r="J105" s="65">
        <v>129.9</v>
      </c>
      <c r="K105" s="65">
        <v>134.80000000000001</v>
      </c>
      <c r="L105" s="65">
        <v>132.69999999999999</v>
      </c>
      <c r="M105" s="65">
        <v>130.80000000000001</v>
      </c>
      <c r="N105" s="65">
        <v>128.5</v>
      </c>
      <c r="O105" s="65">
        <v>126.3</v>
      </c>
      <c r="P105" s="65">
        <v>132.30000000000001</v>
      </c>
      <c r="Q105" s="65">
        <v>134.1</v>
      </c>
      <c r="R105" s="65">
        <v>136.1</v>
      </c>
      <c r="S105" s="65">
        <v>136</v>
      </c>
      <c r="T105" s="65">
        <v>136</v>
      </c>
      <c r="U105" s="65">
        <v>136</v>
      </c>
      <c r="V105" s="65">
        <v>135.1</v>
      </c>
      <c r="W105" s="65">
        <v>135.1</v>
      </c>
      <c r="X105" s="65">
        <v>134.80000000000001</v>
      </c>
      <c r="Y105" s="65">
        <v>133.1</v>
      </c>
      <c r="Z105" s="65">
        <v>127.3</v>
      </c>
      <c r="AA105" s="65">
        <v>130.1</v>
      </c>
      <c r="AB105" s="65">
        <v>134.1</v>
      </c>
      <c r="AC105" s="65">
        <v>134.4</v>
      </c>
      <c r="AD105" s="65">
        <v>135</v>
      </c>
      <c r="AE105" s="65">
        <v>138</v>
      </c>
      <c r="AF105" s="65">
        <v>133</v>
      </c>
      <c r="AG105" s="104"/>
      <c r="AH105" s="47">
        <f t="shared" si="19"/>
        <v>138</v>
      </c>
      <c r="AI105" s="48">
        <f t="shared" si="20"/>
        <v>126.3</v>
      </c>
    </row>
    <row r="106" spans="1:37" ht="15.75" thickBot="1" x14ac:dyDescent="0.3">
      <c r="A106" s="103" t="s">
        <v>110</v>
      </c>
      <c r="B106" s="92">
        <v>66.400000000000006</v>
      </c>
      <c r="C106" s="92">
        <v>66.900000000000006</v>
      </c>
      <c r="D106" s="92">
        <v>67.3</v>
      </c>
      <c r="E106" s="92">
        <v>67.099999999999994</v>
      </c>
      <c r="F106" s="92">
        <v>67.099999999999994</v>
      </c>
      <c r="G106" s="92">
        <v>66.400000000000006</v>
      </c>
      <c r="H106" s="92">
        <v>65.8</v>
      </c>
      <c r="I106" s="92">
        <v>64.8</v>
      </c>
      <c r="J106" s="92">
        <v>64.3</v>
      </c>
      <c r="K106" s="92">
        <v>64.099999999999994</v>
      </c>
      <c r="L106" s="92">
        <v>63.8</v>
      </c>
      <c r="M106" s="92">
        <v>64.3</v>
      </c>
      <c r="N106" s="92">
        <v>65.400000000000006</v>
      </c>
      <c r="O106" s="92">
        <v>64.900000000000006</v>
      </c>
      <c r="P106" s="92">
        <v>65.099999999999994</v>
      </c>
      <c r="Q106" s="92">
        <v>64.8</v>
      </c>
      <c r="R106" s="92">
        <v>65.099999999999994</v>
      </c>
      <c r="S106" s="92">
        <v>64.3</v>
      </c>
      <c r="T106" s="92">
        <v>64.3</v>
      </c>
      <c r="U106" s="92">
        <v>64.3</v>
      </c>
      <c r="V106" s="92">
        <v>65.2</v>
      </c>
      <c r="W106" s="92">
        <v>65.2</v>
      </c>
      <c r="X106" s="92">
        <v>65.2</v>
      </c>
      <c r="Y106" s="92">
        <v>64.8</v>
      </c>
      <c r="Z106" s="92">
        <v>65.599999999999994</v>
      </c>
      <c r="AA106" s="92">
        <v>65.900000000000006</v>
      </c>
      <c r="AB106" s="92">
        <v>66.2</v>
      </c>
      <c r="AC106" s="92">
        <v>66</v>
      </c>
      <c r="AD106" s="92">
        <v>66.5</v>
      </c>
      <c r="AE106" s="92">
        <v>66</v>
      </c>
      <c r="AF106" s="92">
        <v>66.5</v>
      </c>
      <c r="AG106" s="108"/>
      <c r="AH106" s="47">
        <f t="shared" si="19"/>
        <v>67.3</v>
      </c>
      <c r="AI106" s="48">
        <f t="shared" si="20"/>
        <v>63.8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 t="s">
        <v>111</v>
      </c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9"/>
        <v>0</v>
      </c>
      <c r="AI107" s="48">
        <f t="shared" si="20"/>
        <v>0</v>
      </c>
    </row>
    <row r="108" spans="1:37" ht="15.75" thickBot="1" x14ac:dyDescent="0.3">
      <c r="A108" s="110" t="s">
        <v>112</v>
      </c>
      <c r="B108" s="111">
        <f t="shared" ref="B108" si="41">SUM(B18,B24,B27:B28,B56,B58:B59,B61,B63,B109:B113,B135,B141,B147,B156,B158,B170,B177,B180:B181,B188,B190,B192,B196:B198,B200:B202,B207,B213:B214,B216:B218,B226,B231)</f>
        <v>125.50000000000001</v>
      </c>
      <c r="C108" s="111">
        <f t="shared" ref="C108:AF108" si="42">SUM(C18,C24,C27:C28,C56,C58:C59,C61,C63,C109:C113,C135,C141,C147,C156,C158,C170,C177,C180:C181,C188,C190,C192,C196:C198,C200:C202,C207,C213:C214,C216:C218,C226,C231)</f>
        <v>117.14</v>
      </c>
      <c r="D108" s="111">
        <f t="shared" si="42"/>
        <v>115.03999999999999</v>
      </c>
      <c r="E108" s="111">
        <f t="shared" si="42"/>
        <v>108.54</v>
      </c>
      <c r="F108" s="111">
        <f t="shared" si="42"/>
        <v>116.14</v>
      </c>
      <c r="G108" s="111">
        <f t="shared" si="42"/>
        <v>133.04000000000002</v>
      </c>
      <c r="H108" s="111">
        <f t="shared" si="42"/>
        <v>170.64000000000001</v>
      </c>
      <c r="I108" s="111">
        <f t="shared" si="42"/>
        <v>213.04000000000002</v>
      </c>
      <c r="J108" s="111">
        <f t="shared" si="42"/>
        <v>249.54</v>
      </c>
      <c r="K108" s="111">
        <f t="shared" si="42"/>
        <v>297.54000000000002</v>
      </c>
      <c r="L108" s="111">
        <f t="shared" si="42"/>
        <v>326.33999999999997</v>
      </c>
      <c r="M108" s="111">
        <f t="shared" ref="M108" si="43">SUM(M18,M24,M27:M28,M56,M58:M59,M61,M63,M109:M113,M135,M141,M147,M156,M158,M170,M177,M180:M181,M188,M190,M192,M196:M198,M200:M202,M207,M213:M214,M216:M218,M226,M231)</f>
        <v>329.74</v>
      </c>
      <c r="N108" s="111">
        <f t="shared" si="42"/>
        <v>304.74</v>
      </c>
      <c r="O108" s="111">
        <f t="shared" si="42"/>
        <v>287.64000000000004</v>
      </c>
      <c r="P108" s="111">
        <v>42</v>
      </c>
      <c r="Q108" s="111">
        <f t="shared" si="42"/>
        <v>252.3</v>
      </c>
      <c r="R108" s="111">
        <f t="shared" si="42"/>
        <v>245</v>
      </c>
      <c r="S108" s="111">
        <f t="shared" si="42"/>
        <v>243.3</v>
      </c>
      <c r="T108" s="111">
        <f t="shared" ref="T108:U108" si="44">SUM(T18,T24,T27:T28,T56,T58:T59,T61,T63,T109:T113,T135,T141,T147,T156,T158,T170,T177,T180:T181,T188,T190,T192,T196:T198,T200:T202,T207,T213:T214,T216:T218,T226,T231)</f>
        <v>243.3</v>
      </c>
      <c r="U108" s="111">
        <f t="shared" si="44"/>
        <v>224.10000000000002</v>
      </c>
      <c r="V108" s="111">
        <f t="shared" si="42"/>
        <v>248.3</v>
      </c>
      <c r="W108" s="111">
        <f t="shared" ref="W108:X108" si="45">SUM(W18,W24,W27:W28,W56,W58:W59,W61,W63,W109:W113,W135,W141,W147,W156,W158,W170,W177,W180:W181,W188,W190,W192,W196:W198,W200:W202,W207,W213:W214,W216:W218,W226,W231)</f>
        <v>248.3</v>
      </c>
      <c r="X108" s="111">
        <f t="shared" si="45"/>
        <v>298.20000000000005</v>
      </c>
      <c r="Y108" s="111">
        <v>378.59708333333333</v>
      </c>
      <c r="Z108" s="111">
        <f t="shared" si="42"/>
        <v>309.2</v>
      </c>
      <c r="AA108" s="111">
        <f t="shared" si="42"/>
        <v>293</v>
      </c>
      <c r="AB108" s="111">
        <f t="shared" si="42"/>
        <v>283.2</v>
      </c>
      <c r="AC108" s="111">
        <f t="shared" si="42"/>
        <v>283.5</v>
      </c>
      <c r="AD108" s="111">
        <f t="shared" si="42"/>
        <v>265.3</v>
      </c>
      <c r="AE108" s="111">
        <f t="shared" si="42"/>
        <v>187.89999999999998</v>
      </c>
      <c r="AF108" s="111">
        <f t="shared" si="42"/>
        <v>149.30000000000001</v>
      </c>
      <c r="AG108" s="112"/>
      <c r="AH108" s="47">
        <f t="shared" si="19"/>
        <v>378.59708333333333</v>
      </c>
      <c r="AI108" s="48">
        <f t="shared" si="20"/>
        <v>42</v>
      </c>
    </row>
    <row r="109" spans="1:37" x14ac:dyDescent="0.25">
      <c r="A109" s="100" t="s">
        <v>113</v>
      </c>
      <c r="B109" s="113">
        <v>-24.9</v>
      </c>
      <c r="C109" s="113">
        <v>-23.2</v>
      </c>
      <c r="D109" s="113">
        <v>-21.8</v>
      </c>
      <c r="E109" s="113">
        <v>-20.9</v>
      </c>
      <c r="F109" s="113">
        <v>-23.3</v>
      </c>
      <c r="G109" s="113">
        <v>-31.8</v>
      </c>
      <c r="H109" s="113">
        <v>-16.5</v>
      </c>
      <c r="I109" s="113">
        <v>-5.9</v>
      </c>
      <c r="J109" s="113">
        <v>4.5999999999999996</v>
      </c>
      <c r="K109" s="113">
        <v>18.399999999999999</v>
      </c>
      <c r="L109" s="113">
        <v>22.7</v>
      </c>
      <c r="M109" s="113">
        <v>24.4</v>
      </c>
      <c r="N109" s="113">
        <v>20.8</v>
      </c>
      <c r="O109" s="113">
        <v>16.3</v>
      </c>
      <c r="P109" s="113">
        <v>8.1999999999999993</v>
      </c>
      <c r="Q109" s="113">
        <v>2.2999999999999998</v>
      </c>
      <c r="R109" s="113">
        <v>7.2</v>
      </c>
      <c r="S109" s="113">
        <v>-5</v>
      </c>
      <c r="T109" s="113">
        <v>-5</v>
      </c>
      <c r="U109" s="113">
        <v>-6.5</v>
      </c>
      <c r="V109" s="113">
        <v>-3.4</v>
      </c>
      <c r="W109" s="113">
        <v>-3.4</v>
      </c>
      <c r="X109" s="113">
        <v>-11.2</v>
      </c>
      <c r="Y109" s="113">
        <v>17.3</v>
      </c>
      <c r="Z109" s="113">
        <v>13.1</v>
      </c>
      <c r="AA109" s="113">
        <v>6.3</v>
      </c>
      <c r="AB109" s="113">
        <v>5.3</v>
      </c>
      <c r="AC109" s="113">
        <v>2</v>
      </c>
      <c r="AD109" s="113">
        <v>5</v>
      </c>
      <c r="AE109" s="113">
        <v>-8</v>
      </c>
      <c r="AF109" s="113">
        <v>-8</v>
      </c>
      <c r="AG109" s="114">
        <v>75</v>
      </c>
      <c r="AH109" s="47">
        <f t="shared" si="19"/>
        <v>24.4</v>
      </c>
      <c r="AI109" s="48">
        <f t="shared" si="20"/>
        <v>-31.8</v>
      </c>
    </row>
    <row r="110" spans="1:37" x14ac:dyDescent="0.25">
      <c r="A110" s="103" t="s">
        <v>114</v>
      </c>
      <c r="B110" s="115">
        <v>-30.1</v>
      </c>
      <c r="C110" s="115">
        <v>-27.9</v>
      </c>
      <c r="D110" s="115">
        <v>-28</v>
      </c>
      <c r="E110" s="115">
        <v>-27.4</v>
      </c>
      <c r="F110" s="115">
        <v>-30.7</v>
      </c>
      <c r="G110" s="115">
        <v>-24.6</v>
      </c>
      <c r="H110" s="115">
        <v>-22.2</v>
      </c>
      <c r="I110" s="115">
        <v>-8.1999999999999993</v>
      </c>
      <c r="J110" s="115">
        <v>6.1</v>
      </c>
      <c r="K110" s="115">
        <v>19</v>
      </c>
      <c r="L110" s="115">
        <v>21.7</v>
      </c>
      <c r="M110" s="115">
        <v>23.9</v>
      </c>
      <c r="N110" s="115">
        <v>21</v>
      </c>
      <c r="O110" s="115">
        <v>14.4</v>
      </c>
      <c r="P110" s="115">
        <v>4.8</v>
      </c>
      <c r="Q110" s="115">
        <v>-1.5</v>
      </c>
      <c r="R110" s="115">
        <v>4.3</v>
      </c>
      <c r="S110" s="115">
        <v>-11.5</v>
      </c>
      <c r="T110" s="115">
        <v>-11.5</v>
      </c>
      <c r="U110" s="115">
        <v>-13.5</v>
      </c>
      <c r="V110" s="115">
        <v>-13.1</v>
      </c>
      <c r="W110" s="115">
        <v>-13.1</v>
      </c>
      <c r="X110" s="115">
        <v>-5</v>
      </c>
      <c r="Y110" s="115">
        <v>14.6</v>
      </c>
      <c r="Z110" s="115">
        <v>8.3000000000000007</v>
      </c>
      <c r="AA110" s="115">
        <v>-1.9</v>
      </c>
      <c r="AB110" s="115">
        <v>-1.4</v>
      </c>
      <c r="AC110" s="115">
        <v>-5.8</v>
      </c>
      <c r="AD110" s="115">
        <v>1</v>
      </c>
      <c r="AE110" s="115">
        <v>-18</v>
      </c>
      <c r="AF110" s="115">
        <v>-13</v>
      </c>
      <c r="AG110" s="114">
        <v>240</v>
      </c>
      <c r="AH110" s="47">
        <f t="shared" si="19"/>
        <v>23.9</v>
      </c>
      <c r="AI110" s="48">
        <f t="shared" si="20"/>
        <v>-30.7</v>
      </c>
    </row>
    <row r="111" spans="1:37" x14ac:dyDescent="0.25">
      <c r="A111" s="103" t="s">
        <v>115</v>
      </c>
      <c r="B111" s="115">
        <v>-1.6</v>
      </c>
      <c r="C111" s="115">
        <v>-5.6</v>
      </c>
      <c r="D111" s="115">
        <v>-7.6</v>
      </c>
      <c r="E111" s="115">
        <v>-8.9</v>
      </c>
      <c r="F111" s="115">
        <v>-3</v>
      </c>
      <c r="G111" s="115">
        <v>4</v>
      </c>
      <c r="H111" s="115">
        <v>12</v>
      </c>
      <c r="I111" s="115">
        <v>20</v>
      </c>
      <c r="J111" s="115">
        <v>25</v>
      </c>
      <c r="K111" s="115">
        <v>34</v>
      </c>
      <c r="L111" s="115">
        <v>59.3</v>
      </c>
      <c r="M111" s="115">
        <f>28.8+31.6</f>
        <v>60.400000000000006</v>
      </c>
      <c r="N111" s="115">
        <v>39</v>
      </c>
      <c r="O111" s="115">
        <f>24.8+26.7</f>
        <v>51.5</v>
      </c>
      <c r="P111" s="115">
        <f>16.4+18.4</f>
        <v>34.799999999999997</v>
      </c>
      <c r="Q111" s="115">
        <v>24</v>
      </c>
      <c r="R111" s="115">
        <v>18</v>
      </c>
      <c r="S111" s="115">
        <v>26</v>
      </c>
      <c r="T111" s="115">
        <v>26</v>
      </c>
      <c r="U111" s="115">
        <f>-10.9+15.5</f>
        <v>4.5999999999999996</v>
      </c>
      <c r="V111" s="115">
        <f>-2.8+21.2</f>
        <v>18.399999999999999</v>
      </c>
      <c r="W111" s="115">
        <f t="shared" ref="W111" si="46">-2.8+21.2</f>
        <v>18.399999999999999</v>
      </c>
      <c r="X111" s="115">
        <f>15.6+35.3</f>
        <v>50.9</v>
      </c>
      <c r="Y111" s="115">
        <v>50.400000000000006</v>
      </c>
      <c r="Z111" s="115">
        <f>8.7+33.4</f>
        <v>42.099999999999994</v>
      </c>
      <c r="AA111" s="115">
        <f>6.6+35.3</f>
        <v>41.9</v>
      </c>
      <c r="AB111" s="115">
        <v>47</v>
      </c>
      <c r="AC111" s="115">
        <v>52</v>
      </c>
      <c r="AD111" s="115">
        <v>40</v>
      </c>
      <c r="AE111" s="115">
        <v>17</v>
      </c>
      <c r="AF111" s="115">
        <v>-3</v>
      </c>
      <c r="AG111" s="114">
        <v>240</v>
      </c>
      <c r="AH111" s="47">
        <f t="shared" si="19"/>
        <v>60.400000000000006</v>
      </c>
      <c r="AI111" s="48">
        <f t="shared" si="20"/>
        <v>-8.9</v>
      </c>
    </row>
    <row r="112" spans="1:37" x14ac:dyDescent="0.25">
      <c r="A112" s="103" t="s">
        <v>116</v>
      </c>
      <c r="B112" s="115">
        <v>1.2</v>
      </c>
      <c r="C112" s="115">
        <v>-0.5</v>
      </c>
      <c r="D112" s="115">
        <v>2</v>
      </c>
      <c r="E112" s="115">
        <v>0.8</v>
      </c>
      <c r="F112" s="115">
        <v>0.3</v>
      </c>
      <c r="G112" s="115">
        <v>3.3</v>
      </c>
      <c r="H112" s="115">
        <v>6.4</v>
      </c>
      <c r="I112" s="115">
        <v>6.7</v>
      </c>
      <c r="J112" s="115">
        <v>8.5</v>
      </c>
      <c r="K112" s="115">
        <v>15.4</v>
      </c>
      <c r="L112" s="115">
        <v>18.5</v>
      </c>
      <c r="M112" s="115">
        <v>18.5</v>
      </c>
      <c r="N112" s="115">
        <v>17.899999999999999</v>
      </c>
      <c r="O112" s="115">
        <v>14.8</v>
      </c>
      <c r="P112" s="115">
        <v>21.1</v>
      </c>
      <c r="Q112" s="115">
        <v>18</v>
      </c>
      <c r="R112" s="115">
        <v>13.7</v>
      </c>
      <c r="S112" s="115">
        <v>22.8</v>
      </c>
      <c r="T112" s="115">
        <v>22.8</v>
      </c>
      <c r="U112" s="115">
        <v>40</v>
      </c>
      <c r="V112" s="115">
        <v>45.2</v>
      </c>
      <c r="W112" s="115">
        <v>45.2</v>
      </c>
      <c r="X112" s="115">
        <v>84.5</v>
      </c>
      <c r="Y112" s="115">
        <v>47.7</v>
      </c>
      <c r="Z112" s="115">
        <v>52.2</v>
      </c>
      <c r="AA112" s="115">
        <v>58.2</v>
      </c>
      <c r="AB112" s="115">
        <v>37</v>
      </c>
      <c r="AC112" s="115">
        <v>32</v>
      </c>
      <c r="AD112" s="115">
        <v>23</v>
      </c>
      <c r="AE112" s="115">
        <v>3.6</v>
      </c>
      <c r="AF112" s="115">
        <v>1</v>
      </c>
      <c r="AG112" s="114">
        <v>60</v>
      </c>
      <c r="AH112" s="47">
        <f t="shared" si="19"/>
        <v>84.5</v>
      </c>
      <c r="AI112" s="48">
        <f t="shared" si="20"/>
        <v>-0.5</v>
      </c>
    </row>
    <row r="113" spans="1:37" x14ac:dyDescent="0.25">
      <c r="A113" s="116" t="s">
        <v>117</v>
      </c>
      <c r="B113" s="117">
        <v>85.2</v>
      </c>
      <c r="C113" s="117">
        <v>77.7</v>
      </c>
      <c r="D113" s="117">
        <v>73.8</v>
      </c>
      <c r="E113" s="117">
        <v>69.7</v>
      </c>
      <c r="F113" s="117">
        <v>77.599999999999994</v>
      </c>
      <c r="G113" s="117">
        <v>86.9</v>
      </c>
      <c r="H113" s="117">
        <v>95.7</v>
      </c>
      <c r="I113" s="117">
        <v>105.2</v>
      </c>
      <c r="J113" s="117">
        <v>110.1</v>
      </c>
      <c r="K113" s="117">
        <v>115.5</v>
      </c>
      <c r="L113" s="117">
        <v>109</v>
      </c>
      <c r="M113" s="117">
        <v>107.5</v>
      </c>
      <c r="N113" s="117">
        <v>111</v>
      </c>
      <c r="O113" s="117">
        <v>97.1</v>
      </c>
      <c r="P113" s="117">
        <v>117</v>
      </c>
      <c r="Q113" s="117">
        <v>117</v>
      </c>
      <c r="R113" s="117">
        <v>107.5</v>
      </c>
      <c r="S113" s="117">
        <v>117</v>
      </c>
      <c r="T113" s="117">
        <v>117</v>
      </c>
      <c r="U113" s="117">
        <v>105.5</v>
      </c>
      <c r="V113" s="117">
        <v>107.2</v>
      </c>
      <c r="W113" s="117">
        <v>107.2</v>
      </c>
      <c r="X113" s="117">
        <v>85</v>
      </c>
      <c r="Y113" s="117">
        <v>104.9</v>
      </c>
      <c r="Z113" s="117">
        <v>101.2</v>
      </c>
      <c r="AA113" s="117">
        <v>96.2</v>
      </c>
      <c r="AB113" s="117">
        <v>103</v>
      </c>
      <c r="AC113" s="117">
        <v>111</v>
      </c>
      <c r="AD113" s="117">
        <v>104</v>
      </c>
      <c r="AE113" s="117">
        <v>101</v>
      </c>
      <c r="AF113" s="117">
        <v>80</v>
      </c>
      <c r="AG113" s="118">
        <v>120</v>
      </c>
      <c r="AH113" s="47">
        <f t="shared" si="19"/>
        <v>117</v>
      </c>
      <c r="AI113" s="48">
        <f t="shared" si="20"/>
        <v>69.7</v>
      </c>
    </row>
    <row r="114" spans="1:37" x14ac:dyDescent="0.25">
      <c r="A114" s="116" t="s">
        <v>118</v>
      </c>
      <c r="B114" s="117">
        <v>75</v>
      </c>
      <c r="C114" s="117">
        <v>70.2</v>
      </c>
      <c r="D114" s="117">
        <v>66.099999999999994</v>
      </c>
      <c r="E114" s="117">
        <v>64.5</v>
      </c>
      <c r="F114" s="117">
        <v>72</v>
      </c>
      <c r="G114" s="117">
        <v>82</v>
      </c>
      <c r="H114" s="117">
        <v>82.8</v>
      </c>
      <c r="I114" s="117">
        <v>88.2</v>
      </c>
      <c r="J114" s="117">
        <v>90.1</v>
      </c>
      <c r="K114" s="117">
        <v>86.1</v>
      </c>
      <c r="L114" s="117">
        <v>94.9</v>
      </c>
      <c r="M114" s="117">
        <v>100.4</v>
      </c>
      <c r="N114" s="117">
        <v>87</v>
      </c>
      <c r="O114" s="117">
        <v>94.5</v>
      </c>
      <c r="P114" s="117">
        <v>92.8</v>
      </c>
      <c r="Q114" s="117">
        <v>88.5</v>
      </c>
      <c r="R114" s="117">
        <v>85</v>
      </c>
      <c r="S114" s="117">
        <v>85</v>
      </c>
      <c r="T114" s="117">
        <v>85</v>
      </c>
      <c r="U114" s="117">
        <v>80.5</v>
      </c>
      <c r="V114" s="117">
        <v>79.7</v>
      </c>
      <c r="W114" s="117">
        <v>79.7</v>
      </c>
      <c r="X114" s="117">
        <v>97.2</v>
      </c>
      <c r="Y114" s="117">
        <v>98.5</v>
      </c>
      <c r="Z114" s="117">
        <v>83.9</v>
      </c>
      <c r="AA114" s="117">
        <v>85.6</v>
      </c>
      <c r="AB114" s="117">
        <v>80</v>
      </c>
      <c r="AC114" s="117">
        <v>86</v>
      </c>
      <c r="AD114" s="117">
        <v>81</v>
      </c>
      <c r="AE114" s="117">
        <v>85</v>
      </c>
      <c r="AF114" s="117">
        <v>75</v>
      </c>
      <c r="AG114" s="118"/>
      <c r="AH114" s="47">
        <f t="shared" si="19"/>
        <v>100.4</v>
      </c>
      <c r="AI114" s="48">
        <f t="shared" si="20"/>
        <v>64.5</v>
      </c>
    </row>
    <row r="115" spans="1:37" x14ac:dyDescent="0.25">
      <c r="A115" s="116" t="s">
        <v>119</v>
      </c>
      <c r="B115" s="117">
        <v>44.3</v>
      </c>
      <c r="C115" s="117">
        <v>44.3</v>
      </c>
      <c r="D115" s="117">
        <v>40.6</v>
      </c>
      <c r="E115" s="117">
        <v>43.9</v>
      </c>
      <c r="F115" s="117"/>
      <c r="G115" s="117"/>
      <c r="H115" s="117">
        <v>40.6</v>
      </c>
      <c r="I115" s="117"/>
      <c r="J115" s="117"/>
      <c r="K115" s="117"/>
      <c r="L115" s="117"/>
      <c r="M115" s="117"/>
      <c r="N115" s="117"/>
      <c r="O115" s="117">
        <v>15.8</v>
      </c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9"/>
      <c r="AH115" s="47">
        <f t="shared" si="19"/>
        <v>44.3</v>
      </c>
      <c r="AI115" s="48">
        <f t="shared" si="20"/>
        <v>15.8</v>
      </c>
    </row>
    <row r="116" spans="1:37" x14ac:dyDescent="0.25">
      <c r="A116" s="120" t="s">
        <v>120</v>
      </c>
      <c r="B116" s="106">
        <v>29.8</v>
      </c>
      <c r="C116" s="106">
        <v>30.1</v>
      </c>
      <c r="D116" s="106">
        <v>32.6</v>
      </c>
      <c r="E116" s="106">
        <v>25.8</v>
      </c>
      <c r="F116" s="106">
        <v>40</v>
      </c>
      <c r="G116" s="106">
        <v>41</v>
      </c>
      <c r="H116" s="106">
        <v>38.1</v>
      </c>
      <c r="I116" s="106">
        <v>27.4</v>
      </c>
      <c r="J116" s="106">
        <v>5.6</v>
      </c>
      <c r="K116" s="106">
        <v>-5.5</v>
      </c>
      <c r="L116" s="106">
        <v>-13.7</v>
      </c>
      <c r="M116" s="106">
        <v>-35.6</v>
      </c>
      <c r="N116" s="106">
        <v>-34.799999999999997</v>
      </c>
      <c r="O116" s="106">
        <v>-26</v>
      </c>
      <c r="P116" s="106">
        <v>-20</v>
      </c>
      <c r="Q116" s="106">
        <v>-17.3</v>
      </c>
      <c r="R116" s="106">
        <v>-16.100000000000001</v>
      </c>
      <c r="S116" s="106">
        <v>-24</v>
      </c>
      <c r="T116" s="106">
        <v>-24</v>
      </c>
      <c r="U116" s="106">
        <v>-32.5</v>
      </c>
      <c r="V116" s="106">
        <v>-28.9</v>
      </c>
      <c r="W116" s="106">
        <v>-28.9</v>
      </c>
      <c r="X116" s="106">
        <v>-60.2</v>
      </c>
      <c r="Y116" s="106">
        <v>-67</v>
      </c>
      <c r="Z116" s="106">
        <v>-45.5</v>
      </c>
      <c r="AA116" s="106">
        <v>-43.4</v>
      </c>
      <c r="AB116" s="106">
        <v>-26</v>
      </c>
      <c r="AC116" s="106">
        <v>-25</v>
      </c>
      <c r="AD116" s="106">
        <v>-19</v>
      </c>
      <c r="AE116" s="106">
        <v>0</v>
      </c>
      <c r="AF116" s="106">
        <v>5</v>
      </c>
      <c r="AG116" s="119"/>
      <c r="AH116" s="47">
        <f t="shared" si="19"/>
        <v>41</v>
      </c>
      <c r="AI116" s="48">
        <f t="shared" si="20"/>
        <v>-67</v>
      </c>
    </row>
    <row r="117" spans="1:37" ht="15.75" thickBot="1" x14ac:dyDescent="0.3">
      <c r="A117" s="120" t="s">
        <v>121</v>
      </c>
      <c r="B117" s="106">
        <v>59.4</v>
      </c>
      <c r="C117" s="106">
        <v>56.5</v>
      </c>
      <c r="D117" s="106">
        <v>49.9</v>
      </c>
      <c r="E117" s="106">
        <v>53.2</v>
      </c>
      <c r="F117" s="106">
        <v>46.9</v>
      </c>
      <c r="G117" s="106">
        <v>53.1</v>
      </c>
      <c r="H117" s="106">
        <v>58.3</v>
      </c>
      <c r="I117" s="106">
        <v>60.8</v>
      </c>
      <c r="J117" s="106">
        <v>62.6</v>
      </c>
      <c r="K117" s="106">
        <v>64.400000000000006</v>
      </c>
      <c r="L117" s="106">
        <v>69.900000000000006</v>
      </c>
      <c r="M117" s="106">
        <v>78</v>
      </c>
      <c r="N117" s="106">
        <v>92.5</v>
      </c>
      <c r="O117" s="106">
        <v>91.6</v>
      </c>
      <c r="P117" s="106">
        <v>84.9</v>
      </c>
      <c r="Q117" s="106">
        <v>93.4</v>
      </c>
      <c r="R117" s="106">
        <v>93.6</v>
      </c>
      <c r="S117" s="106">
        <v>95</v>
      </c>
      <c r="T117" s="106">
        <v>95</v>
      </c>
      <c r="U117" s="106">
        <v>91</v>
      </c>
      <c r="V117" s="106">
        <v>88.4</v>
      </c>
      <c r="W117" s="106">
        <v>88.4</v>
      </c>
      <c r="X117" s="106">
        <v>81.599999999999994</v>
      </c>
      <c r="Y117" s="106">
        <v>90.7</v>
      </c>
      <c r="Z117" s="106">
        <v>77.400000000000006</v>
      </c>
      <c r="AA117" s="106">
        <v>72.8</v>
      </c>
      <c r="AB117" s="106">
        <v>77</v>
      </c>
      <c r="AC117" s="106">
        <v>79</v>
      </c>
      <c r="AD117" s="106">
        <v>77</v>
      </c>
      <c r="AE117" s="106">
        <v>79</v>
      </c>
      <c r="AF117" s="106">
        <v>75</v>
      </c>
      <c r="AG117" s="119"/>
      <c r="AH117" s="47">
        <f t="shared" si="19"/>
        <v>95</v>
      </c>
      <c r="AI117" s="48">
        <f t="shared" si="20"/>
        <v>46.9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47">SUM(B119:B223)</f>
        <v>0</v>
      </c>
      <c r="C224" s="136">
        <f t="shared" si="47"/>
        <v>0</v>
      </c>
      <c r="D224" s="136">
        <f t="shared" si="47"/>
        <v>0</v>
      </c>
      <c r="E224" s="136">
        <f t="shared" si="47"/>
        <v>0</v>
      </c>
      <c r="F224" s="136">
        <f t="shared" si="47"/>
        <v>0</v>
      </c>
      <c r="G224" s="136">
        <f t="shared" si="47"/>
        <v>0</v>
      </c>
      <c r="H224" s="136">
        <f t="shared" si="47"/>
        <v>0</v>
      </c>
      <c r="I224" s="136">
        <f t="shared" si="47"/>
        <v>0</v>
      </c>
      <c r="J224" s="136">
        <f t="shared" si="47"/>
        <v>0</v>
      </c>
      <c r="K224" s="136">
        <f t="shared" si="47"/>
        <v>0</v>
      </c>
      <c r="L224" s="136">
        <f t="shared" si="47"/>
        <v>0</v>
      </c>
      <c r="M224" s="136">
        <f t="shared" si="47"/>
        <v>0</v>
      </c>
      <c r="N224" s="136">
        <f t="shared" si="47"/>
        <v>0</v>
      </c>
      <c r="O224" s="136">
        <f t="shared" si="47"/>
        <v>0</v>
      </c>
      <c r="P224" s="136">
        <f t="shared" si="47"/>
        <v>0</v>
      </c>
      <c r="Q224" s="136">
        <f t="shared" si="47"/>
        <v>0</v>
      </c>
      <c r="R224" s="136">
        <f t="shared" si="47"/>
        <v>0</v>
      </c>
      <c r="S224" s="136">
        <f t="shared" si="47"/>
        <v>0</v>
      </c>
      <c r="T224" s="136">
        <f t="shared" si="47"/>
        <v>0</v>
      </c>
      <c r="U224" s="136">
        <f t="shared" si="47"/>
        <v>0</v>
      </c>
      <c r="V224" s="136">
        <f t="shared" si="47"/>
        <v>0</v>
      </c>
      <c r="W224" s="136">
        <f t="shared" si="47"/>
        <v>0</v>
      </c>
      <c r="X224" s="136">
        <f t="shared" si="47"/>
        <v>0</v>
      </c>
      <c r="Y224" s="136">
        <f t="shared" si="47"/>
        <v>0</v>
      </c>
      <c r="Z224" s="136">
        <f t="shared" si="47"/>
        <v>0</v>
      </c>
      <c r="AA224" s="136">
        <f t="shared" si="47"/>
        <v>0</v>
      </c>
      <c r="AB224" s="136">
        <f t="shared" si="47"/>
        <v>0</v>
      </c>
      <c r="AC224" s="136">
        <f t="shared" si="47"/>
        <v>0</v>
      </c>
      <c r="AD224" s="136">
        <f t="shared" si="47"/>
        <v>0</v>
      </c>
      <c r="AE224" s="136">
        <f t="shared" si="47"/>
        <v>0</v>
      </c>
      <c r="AF224" s="137">
        <f t="shared" si="47"/>
        <v>0</v>
      </c>
      <c r="AG224" s="138">
        <f t="shared" si="4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48">AF226</f>
        <v>0</v>
      </c>
      <c r="C226" s="140">
        <v>0.3</v>
      </c>
      <c r="D226" s="140">
        <f t="shared" ref="D226:P231" si="49">C226</f>
        <v>0.3</v>
      </c>
      <c r="E226" s="140">
        <f t="shared" si="49"/>
        <v>0.3</v>
      </c>
      <c r="F226" s="140">
        <f t="shared" si="49"/>
        <v>0.3</v>
      </c>
      <c r="G226" s="140">
        <f t="shared" si="49"/>
        <v>0.3</v>
      </c>
      <c r="H226" s="140">
        <f t="shared" si="49"/>
        <v>0.3</v>
      </c>
      <c r="I226" s="140">
        <f t="shared" si="49"/>
        <v>0.3</v>
      </c>
      <c r="J226" s="140">
        <f t="shared" si="49"/>
        <v>0.3</v>
      </c>
      <c r="K226" s="140">
        <f t="shared" si="49"/>
        <v>0.3</v>
      </c>
      <c r="L226" s="140">
        <f t="shared" si="49"/>
        <v>0.3</v>
      </c>
      <c r="M226" s="140">
        <f t="shared" si="49"/>
        <v>0.3</v>
      </c>
      <c r="N226" s="140">
        <f t="shared" si="49"/>
        <v>0.3</v>
      </c>
      <c r="O226" s="140">
        <f t="shared" si="49"/>
        <v>0.3</v>
      </c>
      <c r="P226" s="140">
        <f t="shared" si="4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48"/>
        <v>0</v>
      </c>
      <c r="C227" s="128">
        <v>0.4</v>
      </c>
      <c r="D227" s="128">
        <f t="shared" si="49"/>
        <v>0.4</v>
      </c>
      <c r="E227" s="128">
        <f t="shared" si="49"/>
        <v>0.4</v>
      </c>
      <c r="F227" s="128">
        <f t="shared" si="49"/>
        <v>0.4</v>
      </c>
      <c r="G227" s="128">
        <f t="shared" si="49"/>
        <v>0.4</v>
      </c>
      <c r="H227" s="128">
        <f t="shared" si="49"/>
        <v>0.4</v>
      </c>
      <c r="I227" s="128">
        <f t="shared" si="49"/>
        <v>0.4</v>
      </c>
      <c r="J227" s="128">
        <f t="shared" si="49"/>
        <v>0.4</v>
      </c>
      <c r="K227" s="128">
        <f t="shared" si="49"/>
        <v>0.4</v>
      </c>
      <c r="L227" s="128">
        <f t="shared" si="49"/>
        <v>0.4</v>
      </c>
      <c r="M227" s="128">
        <f t="shared" si="49"/>
        <v>0.4</v>
      </c>
      <c r="N227" s="128">
        <f t="shared" si="49"/>
        <v>0.4</v>
      </c>
      <c r="O227" s="128">
        <f t="shared" si="49"/>
        <v>0.4</v>
      </c>
      <c r="P227" s="128">
        <f t="shared" si="4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48"/>
        <v>0</v>
      </c>
      <c r="C228" s="128">
        <v>1.5</v>
      </c>
      <c r="D228" s="128">
        <f t="shared" si="49"/>
        <v>1.5</v>
      </c>
      <c r="E228" s="128">
        <f t="shared" si="49"/>
        <v>1.5</v>
      </c>
      <c r="F228" s="128">
        <f t="shared" si="49"/>
        <v>1.5</v>
      </c>
      <c r="G228" s="128">
        <f t="shared" si="49"/>
        <v>1.5</v>
      </c>
      <c r="H228" s="128">
        <f t="shared" si="4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49"/>
        <v>1.5</v>
      </c>
      <c r="K228" s="128">
        <f t="shared" ca="1" si="49"/>
        <v>1.5</v>
      </c>
      <c r="L228" s="128">
        <f t="shared" ca="1" si="49"/>
        <v>1.5</v>
      </c>
      <c r="M228" s="128">
        <f t="shared" ca="1" si="49"/>
        <v>1.5</v>
      </c>
      <c r="N228" s="128">
        <f t="shared" ca="1" si="49"/>
        <v>1.5</v>
      </c>
      <c r="O228" s="128">
        <f t="shared" ca="1" si="49"/>
        <v>1.5</v>
      </c>
      <c r="P228" s="128">
        <f t="shared" ca="1" si="4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48"/>
        <v>0</v>
      </c>
      <c r="C229" s="128">
        <v>0.3</v>
      </c>
      <c r="D229" s="128">
        <f t="shared" si="49"/>
        <v>0.3</v>
      </c>
      <c r="E229" s="128">
        <f t="shared" si="49"/>
        <v>0.3</v>
      </c>
      <c r="F229" s="128">
        <f t="shared" si="49"/>
        <v>0.3</v>
      </c>
      <c r="G229" s="128">
        <f t="shared" si="49"/>
        <v>0.3</v>
      </c>
      <c r="H229" s="128">
        <f t="shared" si="49"/>
        <v>0.3</v>
      </c>
      <c r="I229" s="128">
        <f t="shared" si="49"/>
        <v>0.3</v>
      </c>
      <c r="J229" s="128">
        <f t="shared" si="49"/>
        <v>0.3</v>
      </c>
      <c r="K229" s="128">
        <f t="shared" si="49"/>
        <v>0.3</v>
      </c>
      <c r="L229" s="128">
        <f t="shared" si="49"/>
        <v>0.3</v>
      </c>
      <c r="M229" s="128">
        <f t="shared" si="49"/>
        <v>0.3</v>
      </c>
      <c r="N229" s="128">
        <f t="shared" si="49"/>
        <v>0.3</v>
      </c>
      <c r="O229" s="128">
        <f t="shared" si="49"/>
        <v>0.3</v>
      </c>
      <c r="P229" s="128">
        <f t="shared" si="4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48"/>
        <v>0</v>
      </c>
      <c r="C230" s="128">
        <v>0.4</v>
      </c>
      <c r="D230" s="128">
        <f t="shared" si="49"/>
        <v>0.4</v>
      </c>
      <c r="E230" s="128">
        <f t="shared" si="49"/>
        <v>0.4</v>
      </c>
      <c r="F230" s="128">
        <f t="shared" si="49"/>
        <v>0.4</v>
      </c>
      <c r="G230" s="128">
        <f t="shared" si="49"/>
        <v>0.4</v>
      </c>
      <c r="H230" s="128">
        <f t="shared" si="49"/>
        <v>0.4</v>
      </c>
      <c r="I230" s="128">
        <f t="shared" si="49"/>
        <v>0.4</v>
      </c>
      <c r="J230" s="128">
        <f t="shared" si="49"/>
        <v>0.4</v>
      </c>
      <c r="K230" s="128">
        <f t="shared" si="49"/>
        <v>0.4</v>
      </c>
      <c r="L230" s="128">
        <f t="shared" si="49"/>
        <v>0.4</v>
      </c>
      <c r="M230" s="128">
        <f t="shared" si="49"/>
        <v>0.4</v>
      </c>
      <c r="N230" s="128">
        <f t="shared" si="49"/>
        <v>0.4</v>
      </c>
      <c r="O230" s="128">
        <f t="shared" si="49"/>
        <v>0.4</v>
      </c>
      <c r="P230" s="128">
        <f t="shared" si="4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48"/>
        <v>0</v>
      </c>
      <c r="C231" s="132">
        <v>0.64</v>
      </c>
      <c r="D231" s="132">
        <f t="shared" si="49"/>
        <v>0.64</v>
      </c>
      <c r="E231" s="132">
        <f t="shared" si="49"/>
        <v>0.64</v>
      </c>
      <c r="F231" s="132">
        <f t="shared" si="49"/>
        <v>0.64</v>
      </c>
      <c r="G231" s="132">
        <f t="shared" si="49"/>
        <v>0.64</v>
      </c>
      <c r="H231" s="132">
        <f t="shared" si="49"/>
        <v>0.64</v>
      </c>
      <c r="I231" s="132">
        <f t="shared" si="49"/>
        <v>0.64</v>
      </c>
      <c r="J231" s="132">
        <f t="shared" si="49"/>
        <v>0.64</v>
      </c>
      <c r="K231" s="132">
        <f t="shared" si="49"/>
        <v>0.64</v>
      </c>
      <c r="L231" s="132">
        <f t="shared" si="49"/>
        <v>0.64</v>
      </c>
      <c r="M231" s="132">
        <f t="shared" si="49"/>
        <v>0.64</v>
      </c>
      <c r="N231" s="132">
        <f t="shared" si="49"/>
        <v>0.64</v>
      </c>
      <c r="O231" s="132">
        <f t="shared" si="49"/>
        <v>0.64</v>
      </c>
      <c r="P231" s="132">
        <f t="shared" si="4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50">SUM(B226:B231)</f>
        <v>0</v>
      </c>
      <c r="C232" s="136">
        <f t="shared" si="50"/>
        <v>3.54</v>
      </c>
      <c r="D232" s="136">
        <f t="shared" si="50"/>
        <v>3.54</v>
      </c>
      <c r="E232" s="136">
        <f t="shared" si="50"/>
        <v>3.54</v>
      </c>
      <c r="F232" s="136">
        <f t="shared" si="50"/>
        <v>3.54</v>
      </c>
      <c r="G232" s="136">
        <f t="shared" si="50"/>
        <v>3.54</v>
      </c>
      <c r="H232" s="136">
        <f t="shared" si="50"/>
        <v>3.54</v>
      </c>
      <c r="I232" s="136">
        <f t="shared" ca="1" si="50"/>
        <v>3.54</v>
      </c>
      <c r="J232" s="136">
        <f t="shared" ca="1" si="50"/>
        <v>3.54</v>
      </c>
      <c r="K232" s="136">
        <f t="shared" ca="1" si="50"/>
        <v>3.54</v>
      </c>
      <c r="L232" s="136">
        <f t="shared" ca="1" si="50"/>
        <v>3.54</v>
      </c>
      <c r="M232" s="136">
        <f t="shared" ca="1" si="50"/>
        <v>3.54</v>
      </c>
      <c r="N232" s="136">
        <f t="shared" ca="1" si="50"/>
        <v>3.54</v>
      </c>
      <c r="O232" s="136">
        <f t="shared" ca="1" si="50"/>
        <v>3.54</v>
      </c>
      <c r="P232" s="136">
        <f t="shared" ca="1" si="50"/>
        <v>3.54</v>
      </c>
      <c r="Q232" s="136">
        <f t="shared" si="50"/>
        <v>0</v>
      </c>
      <c r="R232" s="136">
        <f t="shared" si="50"/>
        <v>0</v>
      </c>
      <c r="S232" s="136">
        <f t="shared" si="50"/>
        <v>0</v>
      </c>
      <c r="T232" s="136">
        <f t="shared" si="50"/>
        <v>0</v>
      </c>
      <c r="U232" s="136">
        <f t="shared" si="50"/>
        <v>0</v>
      </c>
      <c r="V232" s="136">
        <f t="shared" si="50"/>
        <v>0</v>
      </c>
      <c r="W232" s="136">
        <f t="shared" si="50"/>
        <v>0</v>
      </c>
      <c r="X232" s="136">
        <f t="shared" si="50"/>
        <v>0</v>
      </c>
      <c r="Y232" s="136">
        <f t="shared" si="50"/>
        <v>0</v>
      </c>
      <c r="Z232" s="136">
        <f t="shared" si="50"/>
        <v>0</v>
      </c>
      <c r="AA232" s="136">
        <f t="shared" si="50"/>
        <v>0</v>
      </c>
      <c r="AB232" s="136">
        <f t="shared" si="50"/>
        <v>0</v>
      </c>
      <c r="AC232" s="136">
        <f t="shared" si="50"/>
        <v>0</v>
      </c>
      <c r="AD232" s="136">
        <f t="shared" si="50"/>
        <v>0</v>
      </c>
      <c r="AE232" s="136">
        <f t="shared" si="50"/>
        <v>0</v>
      </c>
      <c r="AF232" s="136">
        <f t="shared" si="50"/>
        <v>0</v>
      </c>
      <c r="AG232" s="145">
        <f t="shared" si="5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1496.3400000000001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19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2079/11/19)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2079/11/19)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51">B89</f>
        <v>1041.8399999999999</v>
      </c>
      <c r="U246" s="170">
        <f t="shared" si="51"/>
        <v>1038.54</v>
      </c>
      <c r="V246" s="170">
        <f t="shared" si="51"/>
        <v>1010.74</v>
      </c>
      <c r="W246" s="170">
        <f t="shared" si="51"/>
        <v>1015.94</v>
      </c>
      <c r="X246" s="170">
        <f t="shared" si="51"/>
        <v>1021.44</v>
      </c>
      <c r="Y246" s="170">
        <f t="shared" si="51"/>
        <v>1072.1400000000001</v>
      </c>
      <c r="Z246" s="170">
        <f t="shared" si="51"/>
        <v>1145.6399999999999</v>
      </c>
      <c r="AA246" s="170">
        <f t="shared" si="51"/>
        <v>1241.54</v>
      </c>
      <c r="AB246" s="170">
        <f t="shared" si="51"/>
        <v>1303.1399999999999</v>
      </c>
      <c r="AC246" s="170">
        <f t="shared" si="51"/>
        <v>1417.1399999999999</v>
      </c>
      <c r="AD246" s="170">
        <f t="shared" si="51"/>
        <v>1485.34</v>
      </c>
      <c r="AE246" s="170">
        <f t="shared" si="51"/>
        <v>1496.3400000000001</v>
      </c>
      <c r="AF246" s="170">
        <f t="shared" si="51"/>
        <v>1459.3400000000001</v>
      </c>
      <c r="AG246" s="170">
        <f t="shared" si="51"/>
        <v>1428.34</v>
      </c>
      <c r="AH246" s="170">
        <f t="shared" si="51"/>
        <v>1348.94</v>
      </c>
      <c r="AI246" s="170">
        <f t="shared" si="51"/>
        <v>1231.54</v>
      </c>
      <c r="AJ246" s="170">
        <f t="shared" si="51"/>
        <v>1252.8400000000001</v>
      </c>
      <c r="AK246" s="170">
        <f t="shared" si="51"/>
        <v>1258.94</v>
      </c>
      <c r="AL246" s="170">
        <f t="shared" si="51"/>
        <v>1266.94</v>
      </c>
      <c r="AM246" s="170">
        <f t="shared" si="51"/>
        <v>1301.8399999999999</v>
      </c>
      <c r="AN246" s="170">
        <f t="shared" si="51"/>
        <v>1281.54</v>
      </c>
      <c r="AO246" s="170">
        <f t="shared" si="51"/>
        <v>1438.74</v>
      </c>
      <c r="AP246" s="170">
        <f t="shared" si="51"/>
        <v>1443.44</v>
      </c>
      <c r="AQ246" s="170">
        <f t="shared" si="51"/>
        <v>1550.2400000000002</v>
      </c>
      <c r="AR246" s="170">
        <f t="shared" si="51"/>
        <v>1517.8400000000001</v>
      </c>
      <c r="AS246" s="170">
        <f t="shared" si="51"/>
        <v>1509.94</v>
      </c>
      <c r="AT246" s="170">
        <f t="shared" si="51"/>
        <v>1433.54</v>
      </c>
      <c r="AU246" s="170">
        <f t="shared" si="51"/>
        <v>1412.54</v>
      </c>
      <c r="AV246" s="170">
        <f t="shared" si="51"/>
        <v>1225.54</v>
      </c>
      <c r="AW246" s="170">
        <f t="shared" si="51"/>
        <v>1166.94</v>
      </c>
      <c r="AX246" s="170">
        <f t="shared" si="51"/>
        <v>1071.94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52">C231</f>
        <v>0.64</v>
      </c>
      <c r="C267" s="173">
        <f t="shared" si="52"/>
        <v>0.64</v>
      </c>
      <c r="D267" s="173">
        <f t="shared" si="52"/>
        <v>0.64</v>
      </c>
      <c r="E267" s="173">
        <f t="shared" si="52"/>
        <v>0.64</v>
      </c>
      <c r="F267" s="173">
        <f t="shared" si="52"/>
        <v>0.64</v>
      </c>
      <c r="G267" s="173">
        <f t="shared" si="52"/>
        <v>0.64</v>
      </c>
      <c r="H267" s="173">
        <f t="shared" si="52"/>
        <v>0.64</v>
      </c>
      <c r="I267" s="173">
        <f t="shared" si="52"/>
        <v>0.64</v>
      </c>
      <c r="J267" s="173">
        <f t="shared" si="52"/>
        <v>0.64</v>
      </c>
      <c r="K267" s="173">
        <f t="shared" si="52"/>
        <v>0.64</v>
      </c>
      <c r="L267" s="173">
        <f t="shared" si="52"/>
        <v>0.64</v>
      </c>
      <c r="M267" s="173">
        <f t="shared" si="52"/>
        <v>0.64</v>
      </c>
      <c r="N267" s="173">
        <f t="shared" si="52"/>
        <v>0.64</v>
      </c>
      <c r="O267" s="173">
        <f t="shared" si="52"/>
        <v>0.64</v>
      </c>
      <c r="P267" s="173">
        <f t="shared" si="52"/>
        <v>0</v>
      </c>
      <c r="Q267" s="173">
        <f t="shared" si="52"/>
        <v>0</v>
      </c>
      <c r="R267" s="173">
        <f t="shared" si="52"/>
        <v>0</v>
      </c>
      <c r="S267" s="173">
        <f t="shared" si="52"/>
        <v>0</v>
      </c>
      <c r="T267" s="173">
        <f t="shared" si="52"/>
        <v>0</v>
      </c>
      <c r="U267" s="173">
        <f t="shared" si="52"/>
        <v>0</v>
      </c>
      <c r="V267" s="173">
        <f t="shared" si="52"/>
        <v>0</v>
      </c>
      <c r="W267" s="173">
        <f t="shared" si="52"/>
        <v>0</v>
      </c>
      <c r="X267" s="173">
        <f t="shared" si="52"/>
        <v>0</v>
      </c>
      <c r="Y267" s="173">
        <f t="shared" si="52"/>
        <v>0</v>
      </c>
      <c r="Z267" s="173">
        <f t="shared" si="52"/>
        <v>0</v>
      </c>
      <c r="AA267" s="173">
        <f t="shared" si="52"/>
        <v>0</v>
      </c>
      <c r="AB267" s="173">
        <f t="shared" si="52"/>
        <v>0</v>
      </c>
      <c r="AC267" s="173">
        <f t="shared" si="52"/>
        <v>0</v>
      </c>
      <c r="AD267" s="173">
        <f t="shared" si="52"/>
        <v>0</v>
      </c>
      <c r="AE267" s="173">
        <f t="shared" si="5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53">IF(B235&lt;100,"",B235-520)</f>
        <v/>
      </c>
      <c r="C268" s="174" t="str">
        <f t="shared" si="53"/>
        <v/>
      </c>
      <c r="D268" s="174" t="str">
        <f t="shared" si="53"/>
        <v/>
      </c>
      <c r="E268" s="174" t="str">
        <f t="shared" si="53"/>
        <v/>
      </c>
      <c r="F268" s="174" t="str">
        <f t="shared" si="53"/>
        <v/>
      </c>
      <c r="G268" s="174" t="str">
        <f t="shared" si="53"/>
        <v/>
      </c>
      <c r="H268" s="174" t="str">
        <f t="shared" si="53"/>
        <v/>
      </c>
      <c r="I268" s="174" t="str">
        <f t="shared" si="53"/>
        <v/>
      </c>
      <c r="J268" s="174" t="str">
        <f t="shared" si="53"/>
        <v/>
      </c>
      <c r="K268" s="174" t="str">
        <f t="shared" si="53"/>
        <v/>
      </c>
      <c r="L268" s="174" t="str">
        <f t="shared" si="53"/>
        <v/>
      </c>
      <c r="M268" s="174" t="str">
        <f t="shared" si="53"/>
        <v/>
      </c>
      <c r="N268" s="174" t="str">
        <f t="shared" si="53"/>
        <v/>
      </c>
      <c r="O268" s="174" t="str">
        <f t="shared" si="53"/>
        <v/>
      </c>
      <c r="P268" s="174" t="str">
        <f t="shared" si="53"/>
        <v/>
      </c>
      <c r="Q268" s="174" t="str">
        <f t="shared" si="53"/>
        <v/>
      </c>
      <c r="R268" s="174" t="str">
        <f t="shared" si="53"/>
        <v/>
      </c>
      <c r="S268" s="174" t="str">
        <f t="shared" si="53"/>
        <v/>
      </c>
      <c r="T268" s="174" t="str">
        <f t="shared" si="53"/>
        <v/>
      </c>
      <c r="U268" s="174" t="str">
        <f t="shared" si="53"/>
        <v/>
      </c>
      <c r="V268" s="174" t="str">
        <f t="shared" si="53"/>
        <v/>
      </c>
      <c r="W268" s="174" t="str">
        <f t="shared" si="53"/>
        <v/>
      </c>
      <c r="X268" s="174" t="str">
        <f t="shared" si="53"/>
        <v/>
      </c>
      <c r="Y268" s="174" t="str">
        <f t="shared" si="53"/>
        <v/>
      </c>
      <c r="Z268" s="174" t="str">
        <f t="shared" si="53"/>
        <v/>
      </c>
      <c r="AA268" s="174" t="str">
        <f t="shared" si="53"/>
        <v/>
      </c>
      <c r="AB268" s="174" t="str">
        <f t="shared" si="53"/>
        <v/>
      </c>
      <c r="AC268" s="174" t="str">
        <f t="shared" si="53"/>
        <v/>
      </c>
      <c r="AD268" s="174" t="str">
        <f t="shared" si="53"/>
        <v/>
      </c>
      <c r="AE268" s="174" t="str">
        <f t="shared" si="53"/>
        <v/>
      </c>
      <c r="AF268" s="174" t="str">
        <f t="shared" si="5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54">IF(B236&lt;100,"",B236-620)</f>
        <v/>
      </c>
      <c r="C269" s="174" t="str">
        <f t="shared" si="54"/>
        <v/>
      </c>
      <c r="D269" s="174" t="str">
        <f t="shared" si="54"/>
        <v/>
      </c>
      <c r="E269" s="174" t="str">
        <f t="shared" si="54"/>
        <v/>
      </c>
      <c r="F269" s="174" t="str">
        <f t="shared" si="54"/>
        <v/>
      </c>
      <c r="G269" s="174" t="str">
        <f t="shared" si="54"/>
        <v/>
      </c>
      <c r="H269" s="174" t="str">
        <f t="shared" si="54"/>
        <v/>
      </c>
      <c r="I269" s="174" t="str">
        <f t="shared" si="54"/>
        <v/>
      </c>
      <c r="J269" s="174" t="str">
        <f t="shared" si="54"/>
        <v/>
      </c>
      <c r="K269" s="174" t="str">
        <f t="shared" si="54"/>
        <v/>
      </c>
      <c r="L269" s="174" t="str">
        <f t="shared" si="54"/>
        <v/>
      </c>
      <c r="M269" s="174" t="str">
        <f t="shared" si="54"/>
        <v/>
      </c>
      <c r="N269" s="174" t="str">
        <f t="shared" si="54"/>
        <v/>
      </c>
      <c r="O269" s="174" t="str">
        <f t="shared" si="54"/>
        <v/>
      </c>
      <c r="P269" s="174" t="str">
        <f t="shared" si="54"/>
        <v/>
      </c>
      <c r="Q269" s="174" t="str">
        <f t="shared" si="54"/>
        <v/>
      </c>
      <c r="R269" s="174" t="str">
        <f t="shared" si="54"/>
        <v/>
      </c>
      <c r="S269" s="174" t="str">
        <f t="shared" si="54"/>
        <v/>
      </c>
      <c r="T269" s="174" t="str">
        <f t="shared" si="54"/>
        <v/>
      </c>
      <c r="U269" s="174" t="str">
        <f t="shared" si="54"/>
        <v/>
      </c>
      <c r="V269" s="174" t="str">
        <f t="shared" si="54"/>
        <v/>
      </c>
      <c r="W269" s="174" t="str">
        <f t="shared" si="54"/>
        <v/>
      </c>
      <c r="X269" s="174" t="str">
        <f t="shared" si="54"/>
        <v/>
      </c>
      <c r="Y269" s="174" t="str">
        <f t="shared" si="54"/>
        <v/>
      </c>
      <c r="Z269" s="174" t="str">
        <f t="shared" si="54"/>
        <v/>
      </c>
      <c r="AA269" s="174" t="str">
        <f t="shared" si="54"/>
        <v/>
      </c>
      <c r="AB269" s="174" t="str">
        <f t="shared" si="54"/>
        <v/>
      </c>
      <c r="AC269" s="174" t="str">
        <f t="shared" si="54"/>
        <v/>
      </c>
      <c r="AD269" s="174" t="str">
        <f t="shared" si="54"/>
        <v/>
      </c>
      <c r="AE269" s="174" t="str">
        <f t="shared" si="54"/>
        <v/>
      </c>
      <c r="AF269" s="174" t="str">
        <f t="shared" si="5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55">IF(B237&lt;100,"",B237-330)</f>
        <v/>
      </c>
      <c r="C270" s="174" t="str">
        <f t="shared" si="55"/>
        <v/>
      </c>
      <c r="D270" s="174" t="str">
        <f t="shared" si="55"/>
        <v/>
      </c>
      <c r="E270" s="174" t="str">
        <f t="shared" si="55"/>
        <v/>
      </c>
      <c r="F270" s="174" t="str">
        <f t="shared" si="55"/>
        <v/>
      </c>
      <c r="G270" s="174" t="str">
        <f t="shared" si="55"/>
        <v/>
      </c>
      <c r="H270" s="174" t="str">
        <f t="shared" si="55"/>
        <v/>
      </c>
      <c r="I270" s="174" t="str">
        <f t="shared" si="55"/>
        <v/>
      </c>
      <c r="J270" s="174" t="str">
        <f t="shared" si="55"/>
        <v/>
      </c>
      <c r="K270" s="174" t="str">
        <f t="shared" si="55"/>
        <v/>
      </c>
      <c r="L270" s="174" t="str">
        <f t="shared" si="55"/>
        <v/>
      </c>
      <c r="M270" s="174" t="str">
        <f t="shared" si="55"/>
        <v/>
      </c>
      <c r="N270" s="174" t="str">
        <f t="shared" si="55"/>
        <v/>
      </c>
      <c r="O270" s="174" t="str">
        <f t="shared" si="55"/>
        <v/>
      </c>
      <c r="P270" s="174" t="str">
        <f t="shared" si="55"/>
        <v/>
      </c>
      <c r="Q270" s="174" t="str">
        <f t="shared" si="55"/>
        <v/>
      </c>
      <c r="R270" s="174" t="str">
        <f t="shared" si="55"/>
        <v/>
      </c>
      <c r="S270" s="174" t="str">
        <f t="shared" si="55"/>
        <v/>
      </c>
      <c r="T270" s="174" t="str">
        <f t="shared" si="55"/>
        <v/>
      </c>
      <c r="U270" s="174" t="str">
        <f t="shared" si="55"/>
        <v/>
      </c>
      <c r="V270" s="174" t="str">
        <f t="shared" si="55"/>
        <v/>
      </c>
      <c r="W270" s="174" t="str">
        <f t="shared" si="55"/>
        <v/>
      </c>
      <c r="X270" s="174" t="str">
        <f t="shared" si="55"/>
        <v/>
      </c>
      <c r="Y270" s="174" t="str">
        <f t="shared" si="55"/>
        <v/>
      </c>
      <c r="Z270" s="174" t="str">
        <f t="shared" si="55"/>
        <v/>
      </c>
      <c r="AA270" s="174" t="str">
        <f t="shared" si="55"/>
        <v/>
      </c>
      <c r="AB270" s="174" t="str">
        <f t="shared" si="55"/>
        <v/>
      </c>
      <c r="AC270" s="174" t="str">
        <f t="shared" si="55"/>
        <v/>
      </c>
      <c r="AD270" s="174" t="str">
        <f t="shared" si="55"/>
        <v/>
      </c>
      <c r="AE270" s="174" t="str">
        <f t="shared" si="55"/>
        <v/>
      </c>
      <c r="AF270" s="174" t="str">
        <f t="shared" si="5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56">IF(B238&lt;100,"",B238-1500)</f>
        <v/>
      </c>
      <c r="C271" s="174" t="str">
        <f t="shared" si="56"/>
        <v/>
      </c>
      <c r="D271" s="174" t="str">
        <f t="shared" si="56"/>
        <v/>
      </c>
      <c r="E271" s="174" t="str">
        <f t="shared" si="56"/>
        <v/>
      </c>
      <c r="F271" s="174" t="str">
        <f t="shared" si="56"/>
        <v/>
      </c>
      <c r="G271" s="174" t="str">
        <f t="shared" si="56"/>
        <v/>
      </c>
      <c r="H271" s="174" t="str">
        <f t="shared" si="56"/>
        <v/>
      </c>
      <c r="I271" s="174" t="str">
        <f t="shared" si="56"/>
        <v/>
      </c>
      <c r="J271" s="174" t="str">
        <f t="shared" si="56"/>
        <v/>
      </c>
      <c r="K271" s="174" t="str">
        <f t="shared" si="56"/>
        <v/>
      </c>
      <c r="L271" s="174" t="str">
        <f t="shared" si="56"/>
        <v/>
      </c>
      <c r="M271" s="174" t="str">
        <f t="shared" si="56"/>
        <v/>
      </c>
      <c r="N271" s="174" t="str">
        <f t="shared" si="56"/>
        <v/>
      </c>
      <c r="O271" s="174" t="str">
        <f t="shared" si="56"/>
        <v/>
      </c>
      <c r="P271" s="174" t="str">
        <f t="shared" si="56"/>
        <v/>
      </c>
      <c r="Q271" s="174" t="str">
        <f t="shared" si="56"/>
        <v/>
      </c>
      <c r="R271" s="174" t="str">
        <f t="shared" si="56"/>
        <v/>
      </c>
      <c r="S271" s="174" t="str">
        <f t="shared" si="56"/>
        <v/>
      </c>
      <c r="T271" s="174" t="str">
        <f t="shared" si="56"/>
        <v/>
      </c>
      <c r="U271" s="174" t="str">
        <f t="shared" si="56"/>
        <v/>
      </c>
      <c r="V271" s="174" t="str">
        <f t="shared" si="56"/>
        <v/>
      </c>
      <c r="W271" s="174" t="str">
        <f t="shared" si="56"/>
        <v/>
      </c>
      <c r="X271" s="174" t="str">
        <f t="shared" si="56"/>
        <v/>
      </c>
      <c r="Y271" s="174" t="str">
        <f t="shared" si="56"/>
        <v/>
      </c>
      <c r="Z271" s="174" t="str">
        <f t="shared" si="56"/>
        <v/>
      </c>
      <c r="AA271" s="174" t="str">
        <f t="shared" si="56"/>
        <v/>
      </c>
      <c r="AB271" s="174" t="str">
        <f t="shared" si="56"/>
        <v/>
      </c>
      <c r="AC271" s="174" t="str">
        <f t="shared" si="56"/>
        <v/>
      </c>
      <c r="AD271" s="174" t="str">
        <f t="shared" si="56"/>
        <v/>
      </c>
      <c r="AE271" s="174" t="str">
        <f t="shared" si="56"/>
        <v/>
      </c>
      <c r="AF271" s="174" t="str">
        <f t="shared" si="5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0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0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17:AF32 Y34:AF43 Y45:AF45">
    <cfRule type="expression" dxfId="5777" priority="499">
      <formula>B$9&gt;=20/24</formula>
    </cfRule>
    <cfRule type="expression" dxfId="5776" priority="500">
      <formula>AND(B$9&gt;=14/24,B$9&lt;20/24)</formula>
    </cfRule>
    <cfRule type="expression" dxfId="5775" priority="501">
      <formula>AND(B$9&gt;=8/24,B$9&lt;14/24)</formula>
    </cfRule>
    <cfRule type="expression" dxfId="5774" priority="502">
      <formula>B$9&lt;8/24</formula>
    </cfRule>
  </conditionalFormatting>
  <conditionalFormatting sqref="AL4:AL6">
    <cfRule type="iconSet" priority="498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5773" priority="497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5772" priority="496">
      <formula>$AH12=0</formula>
    </cfRule>
  </conditionalFormatting>
  <conditionalFormatting sqref="A114">
    <cfRule type="expression" dxfId="5771" priority="495">
      <formula>$AH114=0</formula>
    </cfRule>
  </conditionalFormatting>
  <conditionalFormatting sqref="AL42">
    <cfRule type="iconSet" priority="49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770" priority="493">
      <formula>$AH45=0</formula>
    </cfRule>
  </conditionalFormatting>
  <conditionalFormatting sqref="A98">
    <cfRule type="expression" dxfId="5769" priority="492">
      <formula>$AH98=0</formula>
    </cfRule>
  </conditionalFormatting>
  <conditionalFormatting sqref="A18">
    <cfRule type="expression" dxfId="5768" priority="491">
      <formula>$AH18=0</formula>
    </cfRule>
  </conditionalFormatting>
  <conditionalFormatting sqref="A196:A201">
    <cfRule type="expression" dxfId="5767" priority="490">
      <formula>$AH196=0</formula>
    </cfRule>
  </conditionalFormatting>
  <conditionalFormatting sqref="A190:A195">
    <cfRule type="expression" dxfId="5766" priority="489">
      <formula>$AH190=0</formula>
    </cfRule>
  </conditionalFormatting>
  <conditionalFormatting sqref="A58">
    <cfRule type="expression" dxfId="5765" priority="488">
      <formula>$AH58=0</formula>
    </cfRule>
  </conditionalFormatting>
  <conditionalFormatting sqref="A94">
    <cfRule type="expression" dxfId="5764" priority="487">
      <formula>$AH94=0</formula>
    </cfRule>
  </conditionalFormatting>
  <conditionalFormatting sqref="AD99:AF99 E99:X99">
    <cfRule type="expression" dxfId="5763" priority="483">
      <formula>E$9&gt;=20/24</formula>
    </cfRule>
    <cfRule type="expression" dxfId="5762" priority="484">
      <formula>AND(E$9&gt;=14/24,E$9&lt;20/24)</formula>
    </cfRule>
    <cfRule type="expression" dxfId="5761" priority="485">
      <formula>AND(E$9&gt;=8/24,E$9&lt;14/24)</formula>
    </cfRule>
    <cfRule type="expression" dxfId="5760" priority="486">
      <formula>E$9&lt;8/24</formula>
    </cfRule>
  </conditionalFormatting>
  <conditionalFormatting sqref="AL43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59" priority="505">
      <formula>C$9&gt;=20/24</formula>
    </cfRule>
    <cfRule type="expression" dxfId="5758" priority="506">
      <formula>AND(C$9&gt;=14/24,C$9&lt;20/24)</formula>
    </cfRule>
    <cfRule type="expression" dxfId="5757" priority="507">
      <formula>AND(C$9&gt;=8/24,C$9&lt;14/24)</formula>
    </cfRule>
    <cfRule type="expression" dxfId="5756" priority="508">
      <formula>C$9&lt;8/24</formula>
    </cfRule>
  </conditionalFormatting>
  <conditionalFormatting sqref="A233">
    <cfRule type="expression" dxfId="5755" priority="509">
      <formula>$AH233=0</formula>
    </cfRule>
  </conditionalFormatting>
  <conditionalFormatting sqref="AG245">
    <cfRule type="expression" dxfId="5754" priority="510">
      <formula>B$9&gt;=20/24</formula>
    </cfRule>
    <cfRule type="expression" dxfId="5753" priority="511">
      <formula>AND(B$9&gt;=14/24,B$9&lt;20/24)</formula>
    </cfRule>
    <cfRule type="expression" dxfId="5752" priority="512">
      <formula>AND(B$9&gt;=8/24,B$9&lt;14/24)</formula>
    </cfRule>
    <cfRule type="expression" dxfId="5751" priority="513">
      <formula>B$9&lt;8/24</formula>
    </cfRule>
  </conditionalFormatting>
  <conditionalFormatting sqref="S8">
    <cfRule type="expression" dxfId="5750" priority="478">
      <formula>U$9&gt;=20/24</formula>
    </cfRule>
    <cfRule type="expression" dxfId="5749" priority="479">
      <formula>AND(U$9&gt;=14/24,U$9&lt;20/24)</formula>
    </cfRule>
    <cfRule type="expression" dxfId="5748" priority="480">
      <formula>AND(U$9&gt;=8/24,U$9&lt;14/24)</formula>
    </cfRule>
    <cfRule type="expression" dxfId="5747" priority="481">
      <formula>U$9&lt;8/24</formula>
    </cfRule>
  </conditionalFormatting>
  <conditionalFormatting sqref="AB8">
    <cfRule type="expression" dxfId="5746" priority="474">
      <formula>AD$9&gt;=20/24</formula>
    </cfRule>
    <cfRule type="expression" dxfId="5745" priority="475">
      <formula>AND(AD$9&gt;=14/24,AD$9&lt;20/24)</formula>
    </cfRule>
    <cfRule type="expression" dxfId="5744" priority="476">
      <formula>AND(AD$9&gt;=8/24,AD$9&lt;14/24)</formula>
    </cfRule>
    <cfRule type="expression" dxfId="5743" priority="477">
      <formula>AD$9&lt;8/24</formula>
    </cfRule>
  </conditionalFormatting>
  <conditionalFormatting sqref="AH245:AX245">
    <cfRule type="expression" dxfId="5742" priority="514">
      <formula>AG$9&gt;=20/24</formula>
    </cfRule>
    <cfRule type="expression" dxfId="5741" priority="515">
      <formula>AND(AG$9&gt;=14/24,AG$9&lt;20/24)</formula>
    </cfRule>
    <cfRule type="expression" dxfId="5740" priority="516">
      <formula>AND(AG$9&gt;=8/24,AG$9&lt;14/24)</formula>
    </cfRule>
    <cfRule type="expression" dxfId="5739" priority="517">
      <formula>AG$9&lt;8/24</formula>
    </cfRule>
  </conditionalFormatting>
  <conditionalFormatting sqref="T245">
    <cfRule type="expression" dxfId="5738" priority="518">
      <formula>AX$9&gt;=20/24</formula>
    </cfRule>
    <cfRule type="expression" dxfId="5737" priority="519">
      <formula>AND(AX$9&gt;=14/24,AX$9&lt;20/24)</formula>
    </cfRule>
    <cfRule type="expression" dxfId="5736" priority="520">
      <formula>AND(AX$9&gt;=8/24,AX$9&lt;14/24)</formula>
    </cfRule>
    <cfRule type="expression" dxfId="5735" priority="521">
      <formula>AX$9&lt;8/24</formula>
    </cfRule>
  </conditionalFormatting>
  <conditionalFormatting sqref="A115:A116">
    <cfRule type="expression" dxfId="5734" priority="473">
      <formula>$AH115=0</formula>
    </cfRule>
  </conditionalFormatting>
  <conditionalFormatting sqref="O54:R58 S57:X58 E71:AF71 AB54:AE55 Y56:AE57 AF54:AF57">
    <cfRule type="expression" dxfId="5733" priority="469">
      <formula>E$9&gt;=20/24</formula>
    </cfRule>
    <cfRule type="expression" dxfId="5732" priority="470">
      <formula>AND(E$9&gt;=14/24,E$9&lt;20/24)</formula>
    </cfRule>
    <cfRule type="expression" dxfId="5731" priority="471">
      <formula>AND(E$9&gt;=8/24,E$9&lt;14/24)</formula>
    </cfRule>
    <cfRule type="expression" dxfId="5730" priority="472">
      <formula>E$9&lt;8/24</formula>
    </cfRule>
  </conditionalFormatting>
  <conditionalFormatting sqref="O53:R53 AB53:AF53">
    <cfRule type="expression" dxfId="5729" priority="465">
      <formula>O$9&gt;=20/24</formula>
    </cfRule>
    <cfRule type="expression" dxfId="5728" priority="466">
      <formula>AND(O$9&gt;=14/24,O$9&lt;20/24)</formula>
    </cfRule>
    <cfRule type="expression" dxfId="5727" priority="467">
      <formula>AND(O$9&gt;=8/24,O$9&lt;14/24)</formula>
    </cfRule>
    <cfRule type="expression" dxfId="5726" priority="468">
      <formula>O$9&lt;8/24</formula>
    </cfRule>
  </conditionalFormatting>
  <conditionalFormatting sqref="O53:R58 S57:X58 AB53:AE55 Y56:AE57 AF53:AF57">
    <cfRule type="expression" dxfId="5725" priority="464">
      <formula>O53&gt;$AG53</formula>
    </cfRule>
  </conditionalFormatting>
  <conditionalFormatting sqref="X47:AF47 X96:AF96 AD100:AF106 D86:AF86 E72:X73 N100:X106 Y67:AF69 Y72:AF74">
    <cfRule type="expression" dxfId="5724" priority="460">
      <formula>D$9&gt;=20/24</formula>
    </cfRule>
    <cfRule type="expression" dxfId="5723" priority="461">
      <formula>AND(D$9&gt;=14/24,D$9&lt;20/24)</formula>
    </cfRule>
    <cfRule type="expression" dxfId="5722" priority="462">
      <formula>AND(D$9&gt;=8/24,D$9&lt;14/24)</formula>
    </cfRule>
    <cfRule type="expression" dxfId="5721" priority="463">
      <formula>D$9&lt;8/24</formula>
    </cfRule>
  </conditionalFormatting>
  <conditionalFormatting sqref="X47:AF47 Y67:AF69">
    <cfRule type="expression" dxfId="5720" priority="459">
      <formula>X47&gt;$AG47</formula>
    </cfRule>
  </conditionalFormatting>
  <conditionalFormatting sqref="S53:X56 Y53:AA55">
    <cfRule type="expression" dxfId="5719" priority="455">
      <formula>S$9&gt;=20/24</formula>
    </cfRule>
    <cfRule type="expression" dxfId="5718" priority="456">
      <formula>AND(S$9&gt;=14/24,S$9&lt;20/24)</formula>
    </cfRule>
    <cfRule type="expression" dxfId="5717" priority="457">
      <formula>AND(S$9&gt;=8/24,S$9&lt;14/24)</formula>
    </cfRule>
    <cfRule type="expression" dxfId="5716" priority="458">
      <formula>S$9&lt;8/24</formula>
    </cfRule>
  </conditionalFormatting>
  <conditionalFormatting sqref="S53:X56 Y53:AA55">
    <cfRule type="expression" dxfId="5715" priority="454">
      <formula>S53&gt;$AG53</formula>
    </cfRule>
  </conditionalFormatting>
  <conditionalFormatting sqref="C97:AF97 D88:AF88">
    <cfRule type="expression" dxfId="5714" priority="450">
      <formula>C$9&gt;=20/24</formula>
    </cfRule>
    <cfRule type="expression" dxfId="5713" priority="451">
      <formula>AND(C$9&gt;=14/24,C$9&lt;20/24)</formula>
    </cfRule>
    <cfRule type="expression" dxfId="5712" priority="452">
      <formula>AND(C$9&gt;=8/24,C$9&lt;14/24)</formula>
    </cfRule>
    <cfRule type="expression" dxfId="5711" priority="453">
      <formula>C$9&lt;8/24</formula>
    </cfRule>
  </conditionalFormatting>
  <conditionalFormatting sqref="V47:W47">
    <cfRule type="expression" dxfId="5710" priority="446">
      <formula>V$9&gt;=20/24</formula>
    </cfRule>
    <cfRule type="expression" dxfId="5709" priority="447">
      <formula>AND(V$9&gt;=14/24,V$9&lt;20/24)</formula>
    </cfRule>
    <cfRule type="expression" dxfId="5708" priority="448">
      <formula>AND(V$9&gt;=8/24,V$9&lt;14/24)</formula>
    </cfRule>
    <cfRule type="expression" dxfId="5707" priority="449">
      <formula>V$9&lt;8/24</formula>
    </cfRule>
  </conditionalFormatting>
  <conditionalFormatting sqref="V47:W47">
    <cfRule type="expression" dxfId="5706" priority="445">
      <formula>V47&gt;$AG47</formula>
    </cfRule>
  </conditionalFormatting>
  <conditionalFormatting sqref="E54:N55 Y46:AF46">
    <cfRule type="expression" dxfId="5705" priority="441">
      <formula>E$9&gt;=20/24</formula>
    </cfRule>
    <cfRule type="expression" dxfId="5704" priority="442">
      <formula>AND(E$9&gt;=14/24,E$9&lt;20/24)</formula>
    </cfRule>
    <cfRule type="expression" dxfId="5703" priority="443">
      <formula>AND(E$9&gt;=8/24,E$9&lt;14/24)</formula>
    </cfRule>
    <cfRule type="expression" dxfId="5702" priority="444">
      <formula>E$9&lt;8/24</formula>
    </cfRule>
  </conditionalFormatting>
  <conditionalFormatting sqref="E53:N53">
    <cfRule type="expression" dxfId="5701" priority="437">
      <formula>E$9&gt;=20/24</formula>
    </cfRule>
    <cfRule type="expression" dxfId="5700" priority="438">
      <formula>AND(E$9&gt;=14/24,E$9&lt;20/24)</formula>
    </cfRule>
    <cfRule type="expression" dxfId="5699" priority="439">
      <formula>AND(E$9&gt;=8/24,E$9&lt;14/24)</formula>
    </cfRule>
    <cfRule type="expression" dxfId="5698" priority="440">
      <formula>E$9&lt;8/24</formula>
    </cfRule>
  </conditionalFormatting>
  <conditionalFormatting sqref="E53:N55 Y46:AF46">
    <cfRule type="expression" dxfId="5697" priority="436">
      <formula>E46&gt;$AG46</formula>
    </cfRule>
  </conditionalFormatting>
  <conditionalFormatting sqref="AG70 AG87 E100:M106 S67:X69">
    <cfRule type="expression" dxfId="5696" priority="432">
      <formula>E$9&gt;=20/24</formula>
    </cfRule>
    <cfRule type="expression" dxfId="5695" priority="433">
      <formula>AND(E$9&gt;=14/24,E$9&lt;20/24)</formula>
    </cfRule>
    <cfRule type="expression" dxfId="5694" priority="434">
      <formula>AND(E$9&gt;=8/24,E$9&lt;14/24)</formula>
    </cfRule>
    <cfRule type="expression" dxfId="5693" priority="435">
      <formula>E$9&lt;8/24</formula>
    </cfRule>
  </conditionalFormatting>
  <conditionalFormatting sqref="AG48 AG66 AG70 S67:X69">
    <cfRule type="expression" dxfId="5692" priority="431">
      <formula>S48&gt;$AG48</formula>
    </cfRule>
  </conditionalFormatting>
  <conditionalFormatting sqref="Y58:AF58">
    <cfRule type="expression" dxfId="5691" priority="427">
      <formula>Y$9&gt;=20/24</formula>
    </cfRule>
    <cfRule type="expression" dxfId="5690" priority="428">
      <formula>AND(Y$9&gt;=14/24,Y$9&lt;20/24)</formula>
    </cfRule>
    <cfRule type="expression" dxfId="5689" priority="429">
      <formula>AND(Y$9&gt;=8/24,Y$9&lt;14/24)</formula>
    </cfRule>
    <cfRule type="expression" dxfId="5688" priority="430">
      <formula>Y$9&lt;8/24</formula>
    </cfRule>
  </conditionalFormatting>
  <conditionalFormatting sqref="Y58:AF58">
    <cfRule type="expression" dxfId="5687" priority="426">
      <formula>Y58&gt;$AG58</formula>
    </cfRule>
  </conditionalFormatting>
  <conditionalFormatting sqref="A43">
    <cfRule type="expression" dxfId="5686" priority="425">
      <formula>$AH43=0</formula>
    </cfRule>
  </conditionalFormatting>
  <conditionalFormatting sqref="X91:AF95">
    <cfRule type="expression" dxfId="5685" priority="421">
      <formula>X$9&gt;=20/24</formula>
    </cfRule>
    <cfRule type="expression" dxfId="5684" priority="422">
      <formula>AND(X$9&gt;=14/24,X$9&lt;20/24)</formula>
    </cfRule>
    <cfRule type="expression" dxfId="5683" priority="423">
      <formula>AND(X$9&gt;=8/24,X$9&lt;14/24)</formula>
    </cfRule>
    <cfRule type="expression" dxfId="5682" priority="424">
      <formula>X$9&lt;8/24</formula>
    </cfRule>
  </conditionalFormatting>
  <conditionalFormatting sqref="AL45 AL41 AL22:AL32 AL38:AL39 AL7:AL15 AL17:AL20 AL34:AL36">
    <cfRule type="iconSet" priority="52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5681" priority="417">
      <formula>E$9&gt;=20/24</formula>
    </cfRule>
    <cfRule type="expression" dxfId="5680" priority="418">
      <formula>AND(E$9&gt;=14/24,E$9&lt;20/24)</formula>
    </cfRule>
    <cfRule type="expression" dxfId="5679" priority="419">
      <formula>AND(E$9&gt;=8/24,E$9&lt;14/24)</formula>
    </cfRule>
    <cfRule type="expression" dxfId="5678" priority="420">
      <formula>E$9&lt;8/24</formula>
    </cfRule>
  </conditionalFormatting>
  <conditionalFormatting sqref="E49:AF51">
    <cfRule type="expression" dxfId="5677" priority="416">
      <formula>E49&gt;$AG49</formula>
    </cfRule>
  </conditionalFormatting>
  <conditionalFormatting sqref="AG52">
    <cfRule type="expression" dxfId="5676" priority="412">
      <formula>AG$9&gt;=20/24</formula>
    </cfRule>
    <cfRule type="expression" dxfId="5675" priority="413">
      <formula>AND(AG$9&gt;=14/24,AG$9&lt;20/24)</formula>
    </cfRule>
    <cfRule type="expression" dxfId="5674" priority="414">
      <formula>AND(AG$9&gt;=8/24,AG$9&lt;14/24)</formula>
    </cfRule>
    <cfRule type="expression" dxfId="5673" priority="415">
      <formula>AG$9&lt;8/24</formula>
    </cfRule>
  </conditionalFormatting>
  <conditionalFormatting sqref="AG52">
    <cfRule type="expression" dxfId="5672" priority="411">
      <formula>AG52&gt;$AG52</formula>
    </cfRule>
  </conditionalFormatting>
  <conditionalFormatting sqref="C107:AF107">
    <cfRule type="expression" dxfId="5671" priority="407">
      <formula>C$9&gt;=20/24</formula>
    </cfRule>
    <cfRule type="expression" dxfId="5670" priority="408">
      <formula>AND(C$9&gt;=14/24,C$9&lt;20/24)</formula>
    </cfRule>
    <cfRule type="expression" dxfId="5669" priority="409">
      <formula>AND(C$9&gt;=8/24,C$9&lt;14/24)</formula>
    </cfRule>
    <cfRule type="expression" dxfId="5668" priority="410">
      <formula>C$9&lt;8/24</formula>
    </cfRule>
  </conditionalFormatting>
  <conditionalFormatting sqref="AL40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667" priority="405">
      <formula>$AH40=0</formula>
    </cfRule>
  </conditionalFormatting>
  <conditionalFormatting sqref="A90">
    <cfRule type="expression" dxfId="5666" priority="403">
      <formula>$AH90=0</formula>
    </cfRule>
  </conditionalFormatting>
  <conditionalFormatting sqref="A87">
    <cfRule type="expression" dxfId="5665" priority="404">
      <formula>$AH87=0</formula>
    </cfRule>
  </conditionalFormatting>
  <conditionalFormatting sqref="D110:AF110">
    <cfRule type="expression" dxfId="5664" priority="399">
      <formula>D$9&gt;=20/24</formula>
    </cfRule>
    <cfRule type="expression" dxfId="5663" priority="400">
      <formula>AND(D$9&gt;=14/24,D$9&lt;20/24)</formula>
    </cfRule>
    <cfRule type="expression" dxfId="5662" priority="401">
      <formula>AND(D$9&gt;=8/24,D$9&lt;14/24)</formula>
    </cfRule>
    <cfRule type="expression" dxfId="5661" priority="402">
      <formula>D$9&lt;8/24</formula>
    </cfRule>
  </conditionalFormatting>
  <conditionalFormatting sqref="A110">
    <cfRule type="expression" dxfId="5660" priority="398">
      <formula>$AH110=0</formula>
    </cfRule>
  </conditionalFormatting>
  <conditionalFormatting sqref="A21">
    <cfRule type="expression" dxfId="5659" priority="396">
      <formula>$AH21=0</formula>
    </cfRule>
  </conditionalFormatting>
  <conditionalFormatting sqref="AL21">
    <cfRule type="iconSet" priority="39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658" priority="394">
      <formula>$AH37=0</formula>
    </cfRule>
  </conditionalFormatting>
  <conditionalFormatting sqref="AL37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657" priority="390">
      <formula>Y$9&gt;=20/24</formula>
    </cfRule>
    <cfRule type="expression" dxfId="5656" priority="391">
      <formula>AND(Y$9&gt;=14/24,Y$9&lt;20/24)</formula>
    </cfRule>
    <cfRule type="expression" dxfId="5655" priority="392">
      <formula>AND(Y$9&gt;=8/24,Y$9&lt;14/24)</formula>
    </cfRule>
    <cfRule type="expression" dxfId="5654" priority="393">
      <formula>Y$9&lt;8/24</formula>
    </cfRule>
  </conditionalFormatting>
  <conditionalFormatting sqref="Y100:AC106">
    <cfRule type="expression" dxfId="5653" priority="386">
      <formula>Y$9&gt;=20/24</formula>
    </cfRule>
    <cfRule type="expression" dxfId="5652" priority="387">
      <formula>AND(Y$9&gt;=14/24,Y$9&lt;20/24)</formula>
    </cfRule>
    <cfRule type="expression" dxfId="5651" priority="388">
      <formula>AND(Y$9&gt;=8/24,Y$9&lt;14/24)</formula>
    </cfRule>
    <cfRule type="expression" dxfId="5650" priority="389">
      <formula>Y$9&lt;8/24</formula>
    </cfRule>
  </conditionalFormatting>
  <conditionalFormatting sqref="C109 C111:C116">
    <cfRule type="expression" dxfId="5649" priority="382">
      <formula>C$9&gt;=20/24</formula>
    </cfRule>
    <cfRule type="expression" dxfId="5648" priority="383">
      <formula>AND(C$9&gt;=14/24,C$9&lt;20/24)</formula>
    </cfRule>
    <cfRule type="expression" dxfId="5647" priority="384">
      <formula>AND(C$9&gt;=8/24,C$9&lt;14/24)</formula>
    </cfRule>
    <cfRule type="expression" dxfId="5646" priority="385">
      <formula>C$9&lt;8/24</formula>
    </cfRule>
  </conditionalFormatting>
  <conditionalFormatting sqref="D47:U47">
    <cfRule type="expression" dxfId="5645" priority="378">
      <formula>D$9&gt;=20/24</formula>
    </cfRule>
    <cfRule type="expression" dxfId="5644" priority="379">
      <formula>AND(D$9&gt;=14/24,D$9&lt;20/24)</formula>
    </cfRule>
    <cfRule type="expression" dxfId="5643" priority="380">
      <formula>AND(D$9&gt;=8/24,D$9&lt;14/24)</formula>
    </cfRule>
    <cfRule type="expression" dxfId="5642" priority="381">
      <formula>D$9&lt;8/24</formula>
    </cfRule>
  </conditionalFormatting>
  <conditionalFormatting sqref="D47:U47">
    <cfRule type="expression" dxfId="5641" priority="377">
      <formula>D47&gt;$AG47</formula>
    </cfRule>
  </conditionalFormatting>
  <conditionalFormatting sqref="C99:D99">
    <cfRule type="expression" dxfId="5640" priority="373">
      <formula>C$9&gt;=20/24</formula>
    </cfRule>
    <cfRule type="expression" dxfId="5639" priority="374">
      <formula>AND(C$9&gt;=14/24,C$9&lt;20/24)</formula>
    </cfRule>
    <cfRule type="expression" dxfId="5638" priority="375">
      <formula>AND(C$9&gt;=8/24,C$9&lt;14/24)</formula>
    </cfRule>
    <cfRule type="expression" dxfId="5637" priority="376">
      <formula>C$9&lt;8/24</formula>
    </cfRule>
  </conditionalFormatting>
  <conditionalFormatting sqref="D71">
    <cfRule type="expression" dxfId="5636" priority="369">
      <formula>D$9&gt;=20/24</formula>
    </cfRule>
    <cfRule type="expression" dxfId="5635" priority="370">
      <formula>AND(D$9&gt;=14/24,D$9&lt;20/24)</formula>
    </cfRule>
    <cfRule type="expression" dxfId="5634" priority="371">
      <formula>AND(D$9&gt;=8/24,D$9&lt;14/24)</formula>
    </cfRule>
    <cfRule type="expression" dxfId="5633" priority="372">
      <formula>D$9&lt;8/24</formula>
    </cfRule>
  </conditionalFormatting>
  <conditionalFormatting sqref="C86 C100:D106 D72:D73 E67:R69 C96:W96 C83:AF85 D74:X76 Y75:AF76">
    <cfRule type="expression" dxfId="5632" priority="360">
      <formula>C$9&gt;=20/24</formula>
    </cfRule>
    <cfRule type="expression" dxfId="5631" priority="361">
      <formula>AND(C$9&gt;=14/24,C$9&lt;20/24)</formula>
    </cfRule>
    <cfRule type="expression" dxfId="5630" priority="362">
      <formula>AND(C$9&gt;=8/24,C$9&lt;14/24)</formula>
    </cfRule>
    <cfRule type="expression" dxfId="5629" priority="363">
      <formula>C$9&lt;8/24</formula>
    </cfRule>
  </conditionalFormatting>
  <conditionalFormatting sqref="E56:N57 E67:R69">
    <cfRule type="expression" dxfId="5628" priority="359">
      <formula>E56&gt;$AG56</formula>
    </cfRule>
  </conditionalFormatting>
  <conditionalFormatting sqref="E58:N58">
    <cfRule type="expression" dxfId="5627" priority="355">
      <formula>E$9&gt;=20/24</formula>
    </cfRule>
    <cfRule type="expression" dxfId="5626" priority="356">
      <formula>AND(E$9&gt;=14/24,E$9&lt;20/24)</formula>
    </cfRule>
    <cfRule type="expression" dxfId="5625" priority="357">
      <formula>AND(E$9&gt;=8/24,E$9&lt;14/24)</formula>
    </cfRule>
    <cfRule type="expression" dxfId="5624" priority="358">
      <formula>E$9&lt;8/24</formula>
    </cfRule>
  </conditionalFormatting>
  <conditionalFormatting sqref="E58:N58">
    <cfRule type="expression" dxfId="5623" priority="354">
      <formula>E58&gt;$AG58</formula>
    </cfRule>
  </conditionalFormatting>
  <conditionalFormatting sqref="C71 C54:D57">
    <cfRule type="expression" dxfId="5622" priority="273">
      <formula>C$9&gt;=20/24</formula>
    </cfRule>
    <cfRule type="expression" dxfId="5621" priority="274">
      <formula>AND(C$9&gt;=14/24,C$9&lt;20/24)</formula>
    </cfRule>
    <cfRule type="expression" dxfId="5620" priority="275">
      <formula>AND(C$9&gt;=8/24,C$9&lt;14/24)</formula>
    </cfRule>
    <cfRule type="expression" dxfId="5619" priority="276">
      <formula>C$9&lt;8/24</formula>
    </cfRule>
  </conditionalFormatting>
  <conditionalFormatting sqref="C70:AF70 C87:AF87 C89:AF89 C98:AF98">
    <cfRule type="expression" dxfId="5618" priority="345">
      <formula>C$9&gt;=20/24</formula>
    </cfRule>
    <cfRule type="expression" dxfId="5617" priority="346">
      <formula>AND(C$9&gt;=14/24,C$9&lt;20/24)</formula>
    </cfRule>
    <cfRule type="expression" dxfId="5616" priority="347">
      <formula>AND(C$9&gt;=8/24,C$9&lt;14/24)</formula>
    </cfRule>
    <cfRule type="expression" dxfId="5615" priority="348">
      <formula>C$9&lt;8/24</formula>
    </cfRule>
  </conditionalFormatting>
  <conditionalFormatting sqref="C65:AF66 C70:AF70 C48:AF48">
    <cfRule type="expression" dxfId="5614" priority="344">
      <formula>C48&gt;$AG48</formula>
    </cfRule>
  </conditionalFormatting>
  <conditionalFormatting sqref="C82:AF82">
    <cfRule type="expression" dxfId="5613" priority="340">
      <formula>C$9&gt;=20/24</formula>
    </cfRule>
    <cfRule type="expression" dxfId="5612" priority="341">
      <formula>AND(C$9&gt;=14/24,C$9&lt;20/24)</formula>
    </cfRule>
    <cfRule type="expression" dxfId="5611" priority="342">
      <formula>AND(C$9&gt;=8/24,C$9&lt;14/24)</formula>
    </cfRule>
    <cfRule type="expression" dxfId="5610" priority="343">
      <formula>C$9&lt;8/24</formula>
    </cfRule>
  </conditionalFormatting>
  <conditionalFormatting sqref="C91:W95">
    <cfRule type="expression" dxfId="5609" priority="336">
      <formula>C$9&gt;=20/24</formula>
    </cfRule>
    <cfRule type="expression" dxfId="5608" priority="337">
      <formula>AND(C$9&gt;=14/24,C$9&lt;20/24)</formula>
    </cfRule>
    <cfRule type="expression" dxfId="5607" priority="338">
      <formula>AND(C$9&gt;=8/24,C$9&lt;14/24)</formula>
    </cfRule>
    <cfRule type="expression" dxfId="5606" priority="339">
      <formula>C$9&lt;8/24</formula>
    </cfRule>
  </conditionalFormatting>
  <conditionalFormatting sqref="C52:AF52">
    <cfRule type="expression" dxfId="5605" priority="327">
      <formula>C$9&gt;=20/24</formula>
    </cfRule>
    <cfRule type="expression" dxfId="5604" priority="328">
      <formula>AND(C$9&gt;=14/24,C$9&lt;20/24)</formula>
    </cfRule>
    <cfRule type="expression" dxfId="5603" priority="329">
      <formula>AND(C$9&gt;=8/24,C$9&lt;14/24)</formula>
    </cfRule>
    <cfRule type="expression" dxfId="5602" priority="330">
      <formula>C$9&lt;8/24</formula>
    </cfRule>
  </conditionalFormatting>
  <conditionalFormatting sqref="C52:AF52">
    <cfRule type="expression" dxfId="5601" priority="326">
      <formula>C52&gt;$AG52</formula>
    </cfRule>
  </conditionalFormatting>
  <conditionalFormatting sqref="C49:D51">
    <cfRule type="expression" dxfId="5600" priority="241">
      <formula>C$9&gt;=20/24</formula>
    </cfRule>
    <cfRule type="expression" dxfId="5599" priority="242">
      <formula>AND(C$9&gt;=14/24,C$9&lt;20/24)</formula>
    </cfRule>
    <cfRule type="expression" dxfId="5598" priority="243">
      <formula>AND(C$9&gt;=8/24,C$9&lt;14/24)</formula>
    </cfRule>
    <cfRule type="expression" dxfId="5597" priority="244">
      <formula>C$9&lt;8/24</formula>
    </cfRule>
  </conditionalFormatting>
  <conditionalFormatting sqref="C110">
    <cfRule type="expression" dxfId="5596" priority="318">
      <formula>C$9&gt;=20/24</formula>
    </cfRule>
    <cfRule type="expression" dxfId="5595" priority="319">
      <formula>AND(C$9&gt;=14/24,C$9&lt;20/24)</formula>
    </cfRule>
    <cfRule type="expression" dxfId="5594" priority="320">
      <formula>AND(C$9&gt;=8/24,C$9&lt;14/24)</formula>
    </cfRule>
    <cfRule type="expression" dxfId="5593" priority="321">
      <formula>C$9&lt;8/24</formula>
    </cfRule>
  </conditionalFormatting>
  <conditionalFormatting sqref="E59:X59 Y59:AF64">
    <cfRule type="expression" dxfId="5592" priority="314">
      <formula>E$9&gt;=20/24</formula>
    </cfRule>
    <cfRule type="expression" dxfId="5591" priority="315">
      <formula>AND(E$9&gt;=14/24,E$9&lt;20/24)</formula>
    </cfRule>
    <cfRule type="expression" dxfId="5590" priority="316">
      <formula>AND(E$9&gt;=8/24,E$9&lt;14/24)</formula>
    </cfRule>
    <cfRule type="expression" dxfId="5589" priority="317">
      <formula>E$9&lt;8/24</formula>
    </cfRule>
  </conditionalFormatting>
  <conditionalFormatting sqref="E59:X59 Y59:AF64">
    <cfRule type="expression" dxfId="5588" priority="313">
      <formula>E59&gt;$AG59</formula>
    </cfRule>
  </conditionalFormatting>
  <conditionalFormatting sqref="P77:AF81">
    <cfRule type="expression" dxfId="5587" priority="295">
      <formula>P$9&gt;=20/24</formula>
    </cfRule>
    <cfRule type="expression" dxfId="5586" priority="296">
      <formula>AND(P$9&gt;=14/24,P$9&lt;20/24)</formula>
    </cfRule>
    <cfRule type="expression" dxfId="5585" priority="297">
      <formula>AND(P$9&gt;=8/24,P$9&lt;14/24)</formula>
    </cfRule>
    <cfRule type="expression" dxfId="5584" priority="298">
      <formula>P$9&lt;8/24</formula>
    </cfRule>
  </conditionalFormatting>
  <conditionalFormatting sqref="AL78:AN78 AL84:AN84 AN79:AN80">
    <cfRule type="expression" dxfId="5583" priority="291">
      <formula>AL$9&gt;=20/24</formula>
    </cfRule>
    <cfRule type="expression" dxfId="5582" priority="292">
      <formula>AND(AL$9&gt;=14/24,AL$9&lt;20/24)</formula>
    </cfRule>
    <cfRule type="expression" dxfId="5581" priority="293">
      <formula>AND(AL$9&gt;=8/24,AL$9&lt;14/24)</formula>
    </cfRule>
    <cfRule type="expression" dxfId="5580" priority="294">
      <formula>AL$9&lt;8/24</formula>
    </cfRule>
  </conditionalFormatting>
  <conditionalFormatting sqref="AN81:AN82">
    <cfRule type="expression" dxfId="5579" priority="287">
      <formula>AN$9&gt;=20/24</formula>
    </cfRule>
    <cfRule type="expression" dxfId="5578" priority="288">
      <formula>AND(AN$9&gt;=14/24,AN$9&lt;20/24)</formula>
    </cfRule>
    <cfRule type="expression" dxfId="5577" priority="289">
      <formula>AND(AN$9&gt;=8/24,AN$9&lt;14/24)</formula>
    </cfRule>
    <cfRule type="expression" dxfId="5576" priority="290">
      <formula>AN$9&lt;8/24</formula>
    </cfRule>
  </conditionalFormatting>
  <conditionalFormatting sqref="AL79:AM83">
    <cfRule type="expression" dxfId="5575" priority="523">
      <formula>AJ$9&gt;=20/24</formula>
    </cfRule>
    <cfRule type="expression" dxfId="5574" priority="524">
      <formula>AND(AJ$9&gt;=14/24,AJ$9&lt;20/24)</formula>
    </cfRule>
    <cfRule type="expression" dxfId="5573" priority="525">
      <formula>AND(AJ$9&gt;=8/24,AJ$9&lt;14/24)</formula>
    </cfRule>
    <cfRule type="expression" dxfId="5572" priority="526">
      <formula>AJ$9&lt;8/24</formula>
    </cfRule>
  </conditionalFormatting>
  <conditionalFormatting sqref="A117">
    <cfRule type="expression" dxfId="5571" priority="286">
      <formula>$AH117=0</formula>
    </cfRule>
  </conditionalFormatting>
  <conditionalFormatting sqref="C12:X15 C17:X32 C34:X43 C45:X45">
    <cfRule type="expression" dxfId="5570" priority="282">
      <formula>C$9&gt;=20/24</formula>
    </cfRule>
    <cfRule type="expression" dxfId="5569" priority="283">
      <formula>AND(C$9&gt;=14/24,C$9&lt;20/24)</formula>
    </cfRule>
    <cfRule type="expression" dxfId="5568" priority="284">
      <formula>AND(C$9&gt;=8/24,C$9&lt;14/24)</formula>
    </cfRule>
    <cfRule type="expression" dxfId="5567" priority="285">
      <formula>C$9&lt;8/24</formula>
    </cfRule>
  </conditionalFormatting>
  <conditionalFormatting sqref="C12:X15 C17:X32 C34:X43 C45:X45">
    <cfRule type="expression" dxfId="5566" priority="281">
      <formula>C12&gt;$AG12</formula>
    </cfRule>
  </conditionalFormatting>
  <conditionalFormatting sqref="C53:D53">
    <cfRule type="expression" dxfId="5565" priority="269">
      <formula>C$9&gt;=20/24</formula>
    </cfRule>
    <cfRule type="expression" dxfId="5564" priority="270">
      <formula>AND(C$9&gt;=14/24,C$9&lt;20/24)</formula>
    </cfRule>
    <cfRule type="expression" dxfId="5563" priority="271">
      <formula>AND(C$9&gt;=8/24,C$9&lt;14/24)</formula>
    </cfRule>
    <cfRule type="expression" dxfId="5562" priority="272">
      <formula>C$9&lt;8/24</formula>
    </cfRule>
  </conditionalFormatting>
  <conditionalFormatting sqref="C53:D57">
    <cfRule type="expression" dxfId="5561" priority="268">
      <formula>C53&gt;$AG53</formula>
    </cfRule>
  </conditionalFormatting>
  <conditionalFormatting sqref="C47 C72:C74 C67:D69">
    <cfRule type="expression" dxfId="5560" priority="264">
      <formula>C$9&gt;=20/24</formula>
    </cfRule>
    <cfRule type="expression" dxfId="5559" priority="265">
      <formula>AND(C$9&gt;=14/24,C$9&lt;20/24)</formula>
    </cfRule>
    <cfRule type="expression" dxfId="5558" priority="266">
      <formula>AND(C$9&gt;=8/24,C$9&lt;14/24)</formula>
    </cfRule>
    <cfRule type="expression" dxfId="5557" priority="267">
      <formula>C$9&lt;8/24</formula>
    </cfRule>
  </conditionalFormatting>
  <conditionalFormatting sqref="C47 C67:D69">
    <cfRule type="expression" dxfId="5556" priority="263">
      <formula>C47&gt;$AG47</formula>
    </cfRule>
  </conditionalFormatting>
  <conditionalFormatting sqref="C88">
    <cfRule type="expression" dxfId="5555" priority="259">
      <formula>C$9&gt;=20/24</formula>
    </cfRule>
    <cfRule type="expression" dxfId="5554" priority="260">
      <formula>AND(C$9&gt;=14/24,C$9&lt;20/24)</formula>
    </cfRule>
    <cfRule type="expression" dxfId="5553" priority="261">
      <formula>AND(C$9&gt;=8/24,C$9&lt;14/24)</formula>
    </cfRule>
    <cfRule type="expression" dxfId="5552" priority="262">
      <formula>C$9&lt;8/24</formula>
    </cfRule>
  </conditionalFormatting>
  <conditionalFormatting sqref="C46:X46">
    <cfRule type="expression" dxfId="5551" priority="255">
      <formula>C$9&gt;=20/24</formula>
    </cfRule>
    <cfRule type="expression" dxfId="5550" priority="256">
      <formula>AND(C$9&gt;=14/24,C$9&lt;20/24)</formula>
    </cfRule>
    <cfRule type="expression" dxfId="5549" priority="257">
      <formula>AND(C$9&gt;=8/24,C$9&lt;14/24)</formula>
    </cfRule>
    <cfRule type="expression" dxfId="5548" priority="258">
      <formula>C$9&lt;8/24</formula>
    </cfRule>
  </conditionalFormatting>
  <conditionalFormatting sqref="C46:X46">
    <cfRule type="expression" dxfId="5547" priority="254">
      <formula>C46&gt;$AG46</formula>
    </cfRule>
  </conditionalFormatting>
  <conditionalFormatting sqref="C58:D58">
    <cfRule type="expression" dxfId="5546" priority="250">
      <formula>C$9&gt;=20/24</formula>
    </cfRule>
    <cfRule type="expression" dxfId="5545" priority="251">
      <formula>AND(C$9&gt;=14/24,C$9&lt;20/24)</formula>
    </cfRule>
    <cfRule type="expression" dxfId="5544" priority="252">
      <formula>AND(C$9&gt;=8/24,C$9&lt;14/24)</formula>
    </cfRule>
    <cfRule type="expression" dxfId="5543" priority="253">
      <formula>C$9&lt;8/24</formula>
    </cfRule>
  </conditionalFormatting>
  <conditionalFormatting sqref="C58:D58">
    <cfRule type="expression" dxfId="5542" priority="249">
      <formula>C58&gt;$AG58</formula>
    </cfRule>
  </conditionalFormatting>
  <conditionalFormatting sqref="C49:D51">
    <cfRule type="expression" dxfId="5541" priority="240">
      <formula>C49&gt;$AG49</formula>
    </cfRule>
  </conditionalFormatting>
  <conditionalFormatting sqref="C75:C76">
    <cfRule type="expression" dxfId="5540" priority="228">
      <formula>C$9&gt;=20/24</formula>
    </cfRule>
    <cfRule type="expression" dxfId="5539" priority="229">
      <formula>AND(C$9&gt;=14/24,C$9&lt;20/24)</formula>
    </cfRule>
    <cfRule type="expression" dxfId="5538" priority="230">
      <formula>AND(C$9&gt;=8/24,C$9&lt;14/24)</formula>
    </cfRule>
    <cfRule type="expression" dxfId="5537" priority="231">
      <formula>C$9&lt;8/24</formula>
    </cfRule>
  </conditionalFormatting>
  <conditionalFormatting sqref="C59:D64 E60:X64">
    <cfRule type="expression" dxfId="5536" priority="206">
      <formula>C$9&gt;=20/24</formula>
    </cfRule>
    <cfRule type="expression" dxfId="5535" priority="207">
      <formula>AND(C$9&gt;=14/24,C$9&lt;20/24)</formula>
    </cfRule>
    <cfRule type="expression" dxfId="5534" priority="208">
      <formula>AND(C$9&gt;=8/24,C$9&lt;14/24)</formula>
    </cfRule>
    <cfRule type="expression" dxfId="5533" priority="209">
      <formula>C$9&lt;8/24</formula>
    </cfRule>
  </conditionalFormatting>
  <conditionalFormatting sqref="C59:D64 E60:X64">
    <cfRule type="expression" dxfId="5532" priority="205">
      <formula>C59&gt;$AG59</formula>
    </cfRule>
  </conditionalFormatting>
  <conditionalFormatting sqref="C77:O81">
    <cfRule type="expression" dxfId="5531" priority="201">
      <formula>C$9&gt;=20/24</formula>
    </cfRule>
    <cfRule type="expression" dxfId="5530" priority="202">
      <formula>AND(C$9&gt;=14/24,C$9&lt;20/24)</formula>
    </cfRule>
    <cfRule type="expression" dxfId="5529" priority="203">
      <formula>AND(C$9&gt;=8/24,C$9&lt;14/24)</formula>
    </cfRule>
    <cfRule type="expression" dxfId="5528" priority="204">
      <formula>C$9&lt;8/24</formula>
    </cfRule>
  </conditionalFormatting>
  <conditionalFormatting sqref="Y11:AF11">
    <cfRule type="expression" dxfId="5527" priority="197">
      <formula>Y$9&gt;=20/24</formula>
    </cfRule>
    <cfRule type="expression" dxfId="5526" priority="198">
      <formula>AND(Y$9&gt;=14/24,Y$9&lt;20/24)</formula>
    </cfRule>
    <cfRule type="expression" dxfId="5525" priority="199">
      <formula>AND(Y$9&gt;=8/24,Y$9&lt;14/24)</formula>
    </cfRule>
    <cfRule type="expression" dxfId="5524" priority="200">
      <formula>Y$9&lt;8/24</formula>
    </cfRule>
  </conditionalFormatting>
  <conditionalFormatting sqref="Y11:AF11">
    <cfRule type="expression" dxfId="5523" priority="196">
      <formula>Y11&gt;$AG11</formula>
    </cfRule>
  </conditionalFormatting>
  <conditionalFormatting sqref="A11">
    <cfRule type="expression" dxfId="5522" priority="195">
      <formula>$AH11=0</formula>
    </cfRule>
  </conditionalFormatting>
  <conditionalFormatting sqref="C11:X11">
    <cfRule type="expression" dxfId="5521" priority="186">
      <formula>C$9&gt;=20/24</formula>
    </cfRule>
    <cfRule type="expression" dxfId="5520" priority="187">
      <formula>AND(C$9&gt;=14/24,C$9&lt;20/24)</formula>
    </cfRule>
    <cfRule type="expression" dxfId="5519" priority="188">
      <formula>AND(C$9&gt;=8/24,C$9&lt;14/24)</formula>
    </cfRule>
    <cfRule type="expression" dxfId="5518" priority="189">
      <formula>C$9&lt;8/24</formula>
    </cfRule>
  </conditionalFormatting>
  <conditionalFormatting sqref="C11:X11">
    <cfRule type="expression" dxfId="5517" priority="185">
      <formula>C11&gt;$AG11</formula>
    </cfRule>
  </conditionalFormatting>
  <conditionalFormatting sqref="Y16:AF16">
    <cfRule type="expression" dxfId="5516" priority="180">
      <formula>Y$9&gt;=20/24</formula>
    </cfRule>
    <cfRule type="expression" dxfId="5515" priority="181">
      <formula>AND(Y$9&gt;=14/24,Y$9&lt;20/24)</formula>
    </cfRule>
    <cfRule type="expression" dxfId="5514" priority="182">
      <formula>AND(Y$9&gt;=8/24,Y$9&lt;14/24)</formula>
    </cfRule>
    <cfRule type="expression" dxfId="5513" priority="183">
      <formula>Y$9&lt;8/24</formula>
    </cfRule>
  </conditionalFormatting>
  <conditionalFormatting sqref="Y16:AF16">
    <cfRule type="expression" dxfId="5512" priority="179">
      <formula>Y16&gt;$AG16</formula>
    </cfRule>
  </conditionalFormatting>
  <conditionalFormatting sqref="A16">
    <cfRule type="expression" dxfId="5511" priority="178">
      <formula>$AH16=0</formula>
    </cfRule>
  </conditionalFormatting>
  <conditionalFormatting sqref="AL16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C16:X16">
    <cfRule type="expression" dxfId="5510" priority="169">
      <formula>C$9&gt;=20/24</formula>
    </cfRule>
    <cfRule type="expression" dxfId="5509" priority="170">
      <formula>AND(C$9&gt;=14/24,C$9&lt;20/24)</formula>
    </cfRule>
    <cfRule type="expression" dxfId="5508" priority="171">
      <formula>AND(C$9&gt;=8/24,C$9&lt;14/24)</formula>
    </cfRule>
    <cfRule type="expression" dxfId="5507" priority="172">
      <formula>C$9&lt;8/24</formula>
    </cfRule>
  </conditionalFormatting>
  <conditionalFormatting sqref="C16:X16">
    <cfRule type="expression" dxfId="5506" priority="168">
      <formula>C16&gt;$AG16</formula>
    </cfRule>
  </conditionalFormatting>
  <conditionalFormatting sqref="Y33:AF33">
    <cfRule type="expression" dxfId="5505" priority="163">
      <formula>Y$9&gt;=20/24</formula>
    </cfRule>
    <cfRule type="expression" dxfId="5504" priority="164">
      <formula>AND(Y$9&gt;=14/24,Y$9&lt;20/24)</formula>
    </cfRule>
    <cfRule type="expression" dxfId="5503" priority="165">
      <formula>AND(Y$9&gt;=8/24,Y$9&lt;14/24)</formula>
    </cfRule>
    <cfRule type="expression" dxfId="5502" priority="166">
      <formula>Y$9&lt;8/24</formula>
    </cfRule>
  </conditionalFormatting>
  <conditionalFormatting sqref="Y33:AF33">
    <cfRule type="expression" dxfId="5501" priority="162">
      <formula>Y33&gt;$AG33</formula>
    </cfRule>
  </conditionalFormatting>
  <conditionalFormatting sqref="A33">
    <cfRule type="expression" dxfId="5500" priority="161">
      <formula>$AH33=0</formula>
    </cfRule>
  </conditionalFormatting>
  <conditionalFormatting sqref="AL33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C33:X33">
    <cfRule type="expression" dxfId="5499" priority="152">
      <formula>C$9&gt;=20/24</formula>
    </cfRule>
    <cfRule type="expression" dxfId="5498" priority="153">
      <formula>AND(C$9&gt;=14/24,C$9&lt;20/24)</formula>
    </cfRule>
    <cfRule type="expression" dxfId="5497" priority="154">
      <formula>AND(C$9&gt;=8/24,C$9&lt;14/24)</formula>
    </cfRule>
    <cfRule type="expression" dxfId="5496" priority="155">
      <formula>C$9&lt;8/24</formula>
    </cfRule>
  </conditionalFormatting>
  <conditionalFormatting sqref="C33:X33">
    <cfRule type="expression" dxfId="5495" priority="151">
      <formula>C33&gt;$AG33</formula>
    </cfRule>
  </conditionalFormatting>
  <conditionalFormatting sqref="Y44:AF44">
    <cfRule type="expression" dxfId="5494" priority="146">
      <formula>Y$9&gt;=20/24</formula>
    </cfRule>
    <cfRule type="expression" dxfId="5493" priority="147">
      <formula>AND(Y$9&gt;=14/24,Y$9&lt;20/24)</formula>
    </cfRule>
    <cfRule type="expression" dxfId="5492" priority="148">
      <formula>AND(Y$9&gt;=8/24,Y$9&lt;14/24)</formula>
    </cfRule>
    <cfRule type="expression" dxfId="5491" priority="149">
      <formula>Y$9&lt;8/24</formula>
    </cfRule>
  </conditionalFormatting>
  <conditionalFormatting sqref="Y44:AF44">
    <cfRule type="expression" dxfId="5490" priority="145">
      <formula>Y44&gt;$AG44</formula>
    </cfRule>
  </conditionalFormatting>
  <conditionalFormatting sqref="A44">
    <cfRule type="expression" dxfId="5489" priority="144">
      <formula>$AH44=0</formula>
    </cfRule>
  </conditionalFormatting>
  <conditionalFormatting sqref="AL44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C44:X44">
    <cfRule type="expression" dxfId="5488" priority="135">
      <formula>C$9&gt;=20/24</formula>
    </cfRule>
    <cfRule type="expression" dxfId="5487" priority="136">
      <formula>AND(C$9&gt;=14/24,C$9&lt;20/24)</formula>
    </cfRule>
    <cfRule type="expression" dxfId="5486" priority="137">
      <formula>AND(C$9&gt;=8/24,C$9&lt;14/24)</formula>
    </cfRule>
    <cfRule type="expression" dxfId="5485" priority="138">
      <formula>C$9&lt;8/24</formula>
    </cfRule>
  </conditionalFormatting>
  <conditionalFormatting sqref="C44:X44">
    <cfRule type="expression" dxfId="5484" priority="134">
      <formula>C44&gt;$AG44</formula>
    </cfRule>
  </conditionalFormatting>
  <conditionalFormatting sqref="D117:AF117">
    <cfRule type="expression" dxfId="5483" priority="130">
      <formula>D$9&gt;=20/24</formula>
    </cfRule>
    <cfRule type="expression" dxfId="5482" priority="131">
      <formula>AND(D$9&gt;=14/24,D$9&lt;20/24)</formula>
    </cfRule>
    <cfRule type="expression" dxfId="5481" priority="132">
      <formula>AND(D$9&gt;=8/24,D$9&lt;14/24)</formula>
    </cfRule>
    <cfRule type="expression" dxfId="5480" priority="133">
      <formula>D$9&lt;8/24</formula>
    </cfRule>
  </conditionalFormatting>
  <conditionalFormatting sqref="C117">
    <cfRule type="expression" dxfId="5479" priority="126">
      <formula>C$9&gt;=20/24</formula>
    </cfRule>
    <cfRule type="expression" dxfId="5478" priority="127">
      <formula>AND(C$9&gt;=14/24,C$9&lt;20/24)</formula>
    </cfRule>
    <cfRule type="expression" dxfId="5477" priority="128">
      <formula>AND(C$9&gt;=8/24,C$9&lt;14/24)</formula>
    </cfRule>
    <cfRule type="expression" dxfId="5476" priority="129">
      <formula>C$9&lt;8/24</formula>
    </cfRule>
  </conditionalFormatting>
  <conditionalFormatting sqref="B97">
    <cfRule type="expression" dxfId="5475" priority="118">
      <formula>B$9&gt;=20/24</formula>
    </cfRule>
    <cfRule type="expression" dxfId="5474" priority="119">
      <formula>AND(B$9&gt;=14/24,B$9&lt;20/24)</formula>
    </cfRule>
    <cfRule type="expression" dxfId="5473" priority="120">
      <formula>AND(B$9&gt;=8/24,B$9&lt;14/24)</formula>
    </cfRule>
    <cfRule type="expression" dxfId="5472" priority="121">
      <formula>B$9&lt;8/24</formula>
    </cfRule>
  </conditionalFormatting>
  <conditionalFormatting sqref="B107">
    <cfRule type="expression" dxfId="5471" priority="114">
      <formula>B$9&gt;=20/24</formula>
    </cfRule>
    <cfRule type="expression" dxfId="5470" priority="115">
      <formula>AND(B$9&gt;=14/24,B$9&lt;20/24)</formula>
    </cfRule>
    <cfRule type="expression" dxfId="5469" priority="116">
      <formula>AND(B$9&gt;=8/24,B$9&lt;14/24)</formula>
    </cfRule>
    <cfRule type="expression" dxfId="5468" priority="117">
      <formula>B$9&lt;8/24</formula>
    </cfRule>
  </conditionalFormatting>
  <conditionalFormatting sqref="B109 B111:B116">
    <cfRule type="expression" dxfId="5467" priority="110">
      <formula>B$9&gt;=20/24</formula>
    </cfRule>
    <cfRule type="expression" dxfId="5466" priority="111">
      <formula>AND(B$9&gt;=14/24,B$9&lt;20/24)</formula>
    </cfRule>
    <cfRule type="expression" dxfId="5465" priority="112">
      <formula>AND(B$9&gt;=8/24,B$9&lt;14/24)</formula>
    </cfRule>
    <cfRule type="expression" dxfId="5464" priority="113">
      <formula>B$9&lt;8/24</formula>
    </cfRule>
  </conditionalFormatting>
  <conditionalFormatting sqref="B99">
    <cfRule type="expression" dxfId="5463" priority="106">
      <formula>B$9&gt;=20/24</formula>
    </cfRule>
    <cfRule type="expression" dxfId="5462" priority="107">
      <formula>AND(B$9&gt;=14/24,B$9&lt;20/24)</formula>
    </cfRule>
    <cfRule type="expression" dxfId="5461" priority="108">
      <formula>AND(B$9&gt;=8/24,B$9&lt;14/24)</formula>
    </cfRule>
    <cfRule type="expression" dxfId="5460" priority="109">
      <formula>B$9&lt;8/24</formula>
    </cfRule>
  </conditionalFormatting>
  <conditionalFormatting sqref="B100:B106 B96 B83:B86">
    <cfRule type="expression" dxfId="5459" priority="102">
      <formula>B$9&gt;=20/24</formula>
    </cfRule>
    <cfRule type="expression" dxfId="5458" priority="103">
      <formula>AND(B$9&gt;=14/24,B$9&lt;20/24)</formula>
    </cfRule>
    <cfRule type="expression" dxfId="5457" priority="104">
      <formula>AND(B$9&gt;=8/24,B$9&lt;14/24)</formula>
    </cfRule>
    <cfRule type="expression" dxfId="5456" priority="105">
      <formula>B$9&lt;8/24</formula>
    </cfRule>
  </conditionalFormatting>
  <conditionalFormatting sqref="B54:B57 B71">
    <cfRule type="expression" dxfId="5455" priority="67">
      <formula>B$9&gt;=20/24</formula>
    </cfRule>
    <cfRule type="expression" dxfId="5454" priority="68">
      <formula>AND(B$9&gt;=14/24,B$9&lt;20/24)</formula>
    </cfRule>
    <cfRule type="expression" dxfId="5453" priority="69">
      <formula>AND(B$9&gt;=8/24,B$9&lt;14/24)</formula>
    </cfRule>
    <cfRule type="expression" dxfId="5452" priority="70">
      <formula>B$9&lt;8/24</formula>
    </cfRule>
  </conditionalFormatting>
  <conditionalFormatting sqref="B70 B87 B89 B98">
    <cfRule type="expression" dxfId="5451" priority="98">
      <formula>B$9&gt;=20/24</formula>
    </cfRule>
    <cfRule type="expression" dxfId="5450" priority="99">
      <formula>AND(B$9&gt;=14/24,B$9&lt;20/24)</formula>
    </cfRule>
    <cfRule type="expression" dxfId="5449" priority="100">
      <formula>AND(B$9&gt;=8/24,B$9&lt;14/24)</formula>
    </cfRule>
    <cfRule type="expression" dxfId="5448" priority="101">
      <formula>B$9&lt;8/24</formula>
    </cfRule>
  </conditionalFormatting>
  <conditionalFormatting sqref="B48 B65:B66 B70">
    <cfRule type="expression" dxfId="5447" priority="97">
      <formula>B48&gt;$AG48</formula>
    </cfRule>
  </conditionalFormatting>
  <conditionalFormatting sqref="B82">
    <cfRule type="expression" dxfId="5446" priority="93">
      <formula>B$9&gt;=20/24</formula>
    </cfRule>
    <cfRule type="expression" dxfId="5445" priority="94">
      <formula>AND(B$9&gt;=14/24,B$9&lt;20/24)</formula>
    </cfRule>
    <cfRule type="expression" dxfId="5444" priority="95">
      <formula>AND(B$9&gt;=8/24,B$9&lt;14/24)</formula>
    </cfRule>
    <cfRule type="expression" dxfId="5443" priority="96">
      <formula>B$9&lt;8/24</formula>
    </cfRule>
  </conditionalFormatting>
  <conditionalFormatting sqref="B91:B95">
    <cfRule type="expression" dxfId="5442" priority="89">
      <formula>B$9&gt;=20/24</formula>
    </cfRule>
    <cfRule type="expression" dxfId="5441" priority="90">
      <formula>AND(B$9&gt;=14/24,B$9&lt;20/24)</formula>
    </cfRule>
    <cfRule type="expression" dxfId="5440" priority="91">
      <formula>AND(B$9&gt;=8/24,B$9&lt;14/24)</formula>
    </cfRule>
    <cfRule type="expression" dxfId="5439" priority="92">
      <formula>B$9&lt;8/24</formula>
    </cfRule>
  </conditionalFormatting>
  <conditionalFormatting sqref="B52">
    <cfRule type="expression" dxfId="5438" priority="85">
      <formula>B$9&gt;=20/24</formula>
    </cfRule>
    <cfRule type="expression" dxfId="5437" priority="86">
      <formula>AND(B$9&gt;=14/24,B$9&lt;20/24)</formula>
    </cfRule>
    <cfRule type="expression" dxfId="5436" priority="87">
      <formula>AND(B$9&gt;=8/24,B$9&lt;14/24)</formula>
    </cfRule>
    <cfRule type="expression" dxfId="5435" priority="88">
      <formula>B$9&lt;8/24</formula>
    </cfRule>
  </conditionalFormatting>
  <conditionalFormatting sqref="B52">
    <cfRule type="expression" dxfId="5434" priority="84">
      <formula>B52&gt;$AG52</formula>
    </cfRule>
  </conditionalFormatting>
  <conditionalFormatting sqref="B49:B51">
    <cfRule type="expression" dxfId="5433" priority="39">
      <formula>B$9&gt;=20/24</formula>
    </cfRule>
    <cfRule type="expression" dxfId="5432" priority="40">
      <formula>AND(B$9&gt;=14/24,B$9&lt;20/24)</formula>
    </cfRule>
    <cfRule type="expression" dxfId="5431" priority="41">
      <formula>AND(B$9&gt;=8/24,B$9&lt;14/24)</formula>
    </cfRule>
    <cfRule type="expression" dxfId="5430" priority="42">
      <formula>B$9&lt;8/24</formula>
    </cfRule>
  </conditionalFormatting>
  <conditionalFormatting sqref="B110">
    <cfRule type="expression" dxfId="5429" priority="76">
      <formula>B$9&gt;=20/24</formula>
    </cfRule>
    <cfRule type="expression" dxfId="5428" priority="77">
      <formula>AND(B$9&gt;=14/24,B$9&lt;20/24)</formula>
    </cfRule>
    <cfRule type="expression" dxfId="5427" priority="78">
      <formula>AND(B$9&gt;=8/24,B$9&lt;14/24)</formula>
    </cfRule>
    <cfRule type="expression" dxfId="5426" priority="79">
      <formula>B$9&lt;8/24</formula>
    </cfRule>
  </conditionalFormatting>
  <conditionalFormatting sqref="B12:B15 B17:B32 B34:B43 B45">
    <cfRule type="expression" dxfId="5425" priority="72">
      <formula>B$9&gt;=20/24</formula>
    </cfRule>
    <cfRule type="expression" dxfId="5424" priority="73">
      <formula>AND(B$9&gt;=14/24,B$9&lt;20/24)</formula>
    </cfRule>
    <cfRule type="expression" dxfId="5423" priority="74">
      <formula>AND(B$9&gt;=8/24,B$9&lt;14/24)</formula>
    </cfRule>
    <cfRule type="expression" dxfId="5422" priority="75">
      <formula>B$9&lt;8/24</formula>
    </cfRule>
  </conditionalFormatting>
  <conditionalFormatting sqref="B12:B15 B17:B32 B34:B43 B45">
    <cfRule type="expression" dxfId="5421" priority="71">
      <formula>B12&gt;$AG12</formula>
    </cfRule>
  </conditionalFormatting>
  <conditionalFormatting sqref="B53">
    <cfRule type="expression" dxfId="5420" priority="63">
      <formula>B$9&gt;=20/24</formula>
    </cfRule>
    <cfRule type="expression" dxfId="5419" priority="64">
      <formula>AND(B$9&gt;=14/24,B$9&lt;20/24)</formula>
    </cfRule>
    <cfRule type="expression" dxfId="5418" priority="65">
      <formula>AND(B$9&gt;=8/24,B$9&lt;14/24)</formula>
    </cfRule>
    <cfRule type="expression" dxfId="5417" priority="66">
      <formula>B$9&lt;8/24</formula>
    </cfRule>
  </conditionalFormatting>
  <conditionalFormatting sqref="B53:B57">
    <cfRule type="expression" dxfId="5416" priority="62">
      <formula>B53&gt;$AG53</formula>
    </cfRule>
  </conditionalFormatting>
  <conditionalFormatting sqref="B47 B67:B69 B72:B74">
    <cfRule type="expression" dxfId="5415" priority="58">
      <formula>B$9&gt;=20/24</formula>
    </cfRule>
    <cfRule type="expression" dxfId="5414" priority="59">
      <formula>AND(B$9&gt;=14/24,B$9&lt;20/24)</formula>
    </cfRule>
    <cfRule type="expression" dxfId="5413" priority="60">
      <formula>AND(B$9&gt;=8/24,B$9&lt;14/24)</formula>
    </cfRule>
    <cfRule type="expression" dxfId="5412" priority="61">
      <formula>B$9&lt;8/24</formula>
    </cfRule>
  </conditionalFormatting>
  <conditionalFormatting sqref="B47 B67:B69">
    <cfRule type="expression" dxfId="5411" priority="57">
      <formula>B47&gt;$AG47</formula>
    </cfRule>
  </conditionalFormatting>
  <conditionalFormatting sqref="B88">
    <cfRule type="expression" dxfId="5410" priority="53">
      <formula>B$9&gt;=20/24</formula>
    </cfRule>
    <cfRule type="expression" dxfId="5409" priority="54">
      <formula>AND(B$9&gt;=14/24,B$9&lt;20/24)</formula>
    </cfRule>
    <cfRule type="expression" dxfId="5408" priority="55">
      <formula>AND(B$9&gt;=8/24,B$9&lt;14/24)</formula>
    </cfRule>
    <cfRule type="expression" dxfId="5407" priority="56">
      <formula>B$9&lt;8/24</formula>
    </cfRule>
  </conditionalFormatting>
  <conditionalFormatting sqref="B46">
    <cfRule type="expression" dxfId="5406" priority="49">
      <formula>B$9&gt;=20/24</formula>
    </cfRule>
    <cfRule type="expression" dxfId="5405" priority="50">
      <formula>AND(B$9&gt;=14/24,B$9&lt;20/24)</formula>
    </cfRule>
    <cfRule type="expression" dxfId="5404" priority="51">
      <formula>AND(B$9&gt;=8/24,B$9&lt;14/24)</formula>
    </cfRule>
    <cfRule type="expression" dxfId="5403" priority="52">
      <formula>B$9&lt;8/24</formula>
    </cfRule>
  </conditionalFormatting>
  <conditionalFormatting sqref="B46">
    <cfRule type="expression" dxfId="5402" priority="48">
      <formula>B46&gt;$AG46</formula>
    </cfRule>
  </conditionalFormatting>
  <conditionalFormatting sqref="B58">
    <cfRule type="expression" dxfId="5401" priority="44">
      <formula>B$9&gt;=20/24</formula>
    </cfRule>
    <cfRule type="expression" dxfId="5400" priority="45">
      <formula>AND(B$9&gt;=14/24,B$9&lt;20/24)</formula>
    </cfRule>
    <cfRule type="expression" dxfId="5399" priority="46">
      <formula>AND(B$9&gt;=8/24,B$9&lt;14/24)</formula>
    </cfRule>
    <cfRule type="expression" dxfId="5398" priority="47">
      <formula>B$9&lt;8/24</formula>
    </cfRule>
  </conditionalFormatting>
  <conditionalFormatting sqref="B58">
    <cfRule type="expression" dxfId="5397" priority="43">
      <formula>B58&gt;$AG58</formula>
    </cfRule>
  </conditionalFormatting>
  <conditionalFormatting sqref="B49:B51">
    <cfRule type="expression" dxfId="5396" priority="38">
      <formula>B49&gt;$AG49</formula>
    </cfRule>
  </conditionalFormatting>
  <conditionalFormatting sqref="B75:B76">
    <cfRule type="expression" dxfId="5395" priority="34">
      <formula>B$9&gt;=20/24</formula>
    </cfRule>
    <cfRule type="expression" dxfId="5394" priority="35">
      <formula>AND(B$9&gt;=14/24,B$9&lt;20/24)</formula>
    </cfRule>
    <cfRule type="expression" dxfId="5393" priority="36">
      <formula>AND(B$9&gt;=8/24,B$9&lt;14/24)</formula>
    </cfRule>
    <cfRule type="expression" dxfId="5392" priority="37">
      <formula>B$9&lt;8/24</formula>
    </cfRule>
  </conditionalFormatting>
  <conditionalFormatting sqref="B59:B64">
    <cfRule type="expression" dxfId="5391" priority="30">
      <formula>B$9&gt;=20/24</formula>
    </cfRule>
    <cfRule type="expression" dxfId="5390" priority="31">
      <formula>AND(B$9&gt;=14/24,B$9&lt;20/24)</formula>
    </cfRule>
    <cfRule type="expression" dxfId="5389" priority="32">
      <formula>AND(B$9&gt;=8/24,B$9&lt;14/24)</formula>
    </cfRule>
    <cfRule type="expression" dxfId="5388" priority="33">
      <formula>B$9&lt;8/24</formula>
    </cfRule>
  </conditionalFormatting>
  <conditionalFormatting sqref="B59:B64">
    <cfRule type="expression" dxfId="5387" priority="29">
      <formula>B59&gt;$AG59</formula>
    </cfRule>
  </conditionalFormatting>
  <conditionalFormatting sqref="B77:B81">
    <cfRule type="expression" dxfId="5386" priority="25">
      <formula>B$9&gt;=20/24</formula>
    </cfRule>
    <cfRule type="expression" dxfId="5385" priority="26">
      <formula>AND(B$9&gt;=14/24,B$9&lt;20/24)</formula>
    </cfRule>
    <cfRule type="expression" dxfId="5384" priority="27">
      <formula>AND(B$9&gt;=8/24,B$9&lt;14/24)</formula>
    </cfRule>
    <cfRule type="expression" dxfId="5383" priority="28">
      <formula>B$9&lt;8/24</formula>
    </cfRule>
  </conditionalFormatting>
  <conditionalFormatting sqref="B11">
    <cfRule type="expression" dxfId="5382" priority="21">
      <formula>B$9&gt;=20/24</formula>
    </cfRule>
    <cfRule type="expression" dxfId="5381" priority="22">
      <formula>AND(B$9&gt;=14/24,B$9&lt;20/24)</formula>
    </cfRule>
    <cfRule type="expression" dxfId="5380" priority="23">
      <formula>AND(B$9&gt;=8/24,B$9&lt;14/24)</formula>
    </cfRule>
    <cfRule type="expression" dxfId="5379" priority="24">
      <formula>B$9&lt;8/24</formula>
    </cfRule>
  </conditionalFormatting>
  <conditionalFormatting sqref="B11">
    <cfRule type="expression" dxfId="5378" priority="20">
      <formula>B11&gt;$AG11</formula>
    </cfRule>
  </conditionalFormatting>
  <conditionalFormatting sqref="B16">
    <cfRule type="expression" dxfId="5377" priority="16">
      <formula>B$9&gt;=20/24</formula>
    </cfRule>
    <cfRule type="expression" dxfId="5376" priority="17">
      <formula>AND(B$9&gt;=14/24,B$9&lt;20/24)</formula>
    </cfRule>
    <cfRule type="expression" dxfId="5375" priority="18">
      <formula>AND(B$9&gt;=8/24,B$9&lt;14/24)</formula>
    </cfRule>
    <cfRule type="expression" dxfId="5374" priority="19">
      <formula>B$9&lt;8/24</formula>
    </cfRule>
  </conditionalFormatting>
  <conditionalFormatting sqref="B16">
    <cfRule type="expression" dxfId="5373" priority="15">
      <formula>B16&gt;$AG16</formula>
    </cfRule>
  </conditionalFormatting>
  <conditionalFormatting sqref="B33">
    <cfRule type="expression" dxfId="5372" priority="11">
      <formula>B$9&gt;=20/24</formula>
    </cfRule>
    <cfRule type="expression" dxfId="5371" priority="12">
      <formula>AND(B$9&gt;=14/24,B$9&lt;20/24)</formula>
    </cfRule>
    <cfRule type="expression" dxfId="5370" priority="13">
      <formula>AND(B$9&gt;=8/24,B$9&lt;14/24)</formula>
    </cfRule>
    <cfRule type="expression" dxfId="5369" priority="14">
      <formula>B$9&lt;8/24</formula>
    </cfRule>
  </conditionalFormatting>
  <conditionalFormatting sqref="B33">
    <cfRule type="expression" dxfId="5368" priority="10">
      <formula>B33&gt;$AG33</formula>
    </cfRule>
  </conditionalFormatting>
  <conditionalFormatting sqref="B44">
    <cfRule type="expression" dxfId="5367" priority="6">
      <formula>B$9&gt;=20/24</formula>
    </cfRule>
    <cfRule type="expression" dxfId="5366" priority="7">
      <formula>AND(B$9&gt;=14/24,B$9&lt;20/24)</formula>
    </cfRule>
    <cfRule type="expression" dxfId="5365" priority="8">
      <formula>AND(B$9&gt;=8/24,B$9&lt;14/24)</formula>
    </cfRule>
    <cfRule type="expression" dxfId="5364" priority="9">
      <formula>B$9&lt;8/24</formula>
    </cfRule>
  </conditionalFormatting>
  <conditionalFormatting sqref="B44">
    <cfRule type="expression" dxfId="5363" priority="5">
      <formula>B44&gt;$AG44</formula>
    </cfRule>
  </conditionalFormatting>
  <conditionalFormatting sqref="B117">
    <cfRule type="expression" dxfId="5362" priority="1">
      <formula>B$9&gt;=20/24</formula>
    </cfRule>
    <cfRule type="expression" dxfId="5361" priority="2">
      <formula>AND(B$9&gt;=14/24,B$9&lt;20/24)</formula>
    </cfRule>
    <cfRule type="expression" dxfId="5360" priority="3">
      <formula>AND(B$9&gt;=8/24,B$9&lt;14/24)</formula>
    </cfRule>
    <cfRule type="expression" dxfId="5359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2" id="{2F50E04A-8233-42C6-B67E-05EEC1B1B80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23" id="{F1A146FB-9BD3-4C9D-B98B-DCA374725F4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4" id="{0B9E7183-F5D6-43C9-9922-B9760F82B6C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5" id="{9615C131-4870-41C1-ABB5-B29F91AD11F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0" id="{F73B66F5-A6F4-4AD4-92DB-EF807828281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1" id="{2337D4B2-FF74-4460-A2E1-785E7096DF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2" id="{31C80C0D-CC96-43FD-8658-370E8404AA9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3" id="{6ACB137C-1483-44FF-B1F8-D2209670CCA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8"/>
  <sheetViews>
    <sheetView zoomScaleNormal="100" workbookViewId="0">
      <pane ySplit="10" topLeftCell="A65" activePane="bottomLeft" state="frozen"/>
      <selection activeCell="Z85" sqref="Z85"/>
      <selection pane="bottomLeft" activeCell="V67" sqref="V6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8.28515625" style="1" customWidth="1"/>
    <col min="23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2079/11/20</v>
      </c>
      <c r="C4" s="208"/>
      <c r="D4" s="208"/>
      <c r="E4" s="209" t="str">
        <f ca="1">"2079/"&amp;"11/"&amp;INT(MID(CELL("filename",G6),FIND("]",CELL("filename",G6))+1,200))</f>
        <v>2079/11/20</v>
      </c>
      <c r="F4" s="209"/>
      <c r="G4" s="209"/>
      <c r="H4" s="209" t="str">
        <f ca="1">TEXT(E4,"dddd")</f>
        <v>Monday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495</v>
      </c>
      <c r="C5" s="30">
        <f t="shared" si="0"/>
        <v>462</v>
      </c>
      <c r="D5" s="30">
        <f t="shared" si="0"/>
        <v>467</v>
      </c>
      <c r="E5" s="30">
        <f t="shared" si="0"/>
        <v>464</v>
      </c>
      <c r="F5" s="30">
        <f t="shared" si="0"/>
        <v>490</v>
      </c>
      <c r="G5" s="30">
        <f t="shared" si="0"/>
        <v>513</v>
      </c>
      <c r="H5" s="30">
        <f t="shared" si="0"/>
        <v>517</v>
      </c>
      <c r="I5" s="30">
        <f t="shared" si="0"/>
        <v>518</v>
      </c>
      <c r="J5" s="30">
        <f t="shared" si="0"/>
        <v>427</v>
      </c>
      <c r="K5" s="30">
        <f t="shared" si="0"/>
        <v>367.3</v>
      </c>
      <c r="L5" s="30">
        <f t="shared" si="0"/>
        <v>460.3</v>
      </c>
      <c r="M5" s="30">
        <f t="shared" si="0"/>
        <v>500.4</v>
      </c>
      <c r="N5" s="30">
        <f t="shared" si="0"/>
        <v>524.20000000000005</v>
      </c>
      <c r="O5" s="30">
        <f t="shared" si="0"/>
        <v>521.5</v>
      </c>
      <c r="P5" s="30">
        <f t="shared" si="0"/>
        <v>510.5</v>
      </c>
      <c r="Q5" s="30">
        <f t="shared" si="0"/>
        <v>503</v>
      </c>
      <c r="R5" s="30">
        <f t="shared" si="0"/>
        <v>561.5</v>
      </c>
      <c r="S5" s="30">
        <f t="shared" si="0"/>
        <v>549.1</v>
      </c>
      <c r="T5" s="30">
        <f t="shared" si="0"/>
        <v>564</v>
      </c>
      <c r="U5" s="30">
        <f t="shared" si="0"/>
        <v>482</v>
      </c>
      <c r="V5" s="30">
        <f t="shared" si="0"/>
        <v>508.6</v>
      </c>
      <c r="W5" s="30">
        <f t="shared" si="0"/>
        <v>511.90000000000003</v>
      </c>
      <c r="X5" s="30">
        <f t="shared" si="0"/>
        <v>531.79999999999995</v>
      </c>
      <c r="Y5" s="30">
        <f t="shared" si="0"/>
        <v>524.9</v>
      </c>
      <c r="Z5" s="30">
        <f t="shared" si="0"/>
        <v>519.9</v>
      </c>
      <c r="AA5" s="30">
        <f t="shared" si="0"/>
        <v>501.7</v>
      </c>
      <c r="AB5" s="30">
        <f t="shared" si="0"/>
        <v>534.29999999999995</v>
      </c>
      <c r="AC5" s="30">
        <f t="shared" si="0"/>
        <v>534.29999999999995</v>
      </c>
      <c r="AD5" s="30">
        <f t="shared" si="0"/>
        <v>552</v>
      </c>
      <c r="AE5" s="30">
        <f t="shared" si="0"/>
        <v>502</v>
      </c>
      <c r="AF5" s="30">
        <f>B82</f>
        <v>539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1463MW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Load=1071</v>
      </c>
      <c r="B7" s="35">
        <f t="shared" ref="B7:AF7" si="1">B89</f>
        <v>1112.94</v>
      </c>
      <c r="C7" s="35">
        <f t="shared" si="1"/>
        <v>1088.94</v>
      </c>
      <c r="D7" s="35">
        <f t="shared" si="1"/>
        <v>1073.8400000000001</v>
      </c>
      <c r="E7" s="35">
        <f t="shared" si="1"/>
        <v>1073.1400000000001</v>
      </c>
      <c r="F7" s="35">
        <f t="shared" si="1"/>
        <v>1071.44</v>
      </c>
      <c r="G7" s="35">
        <f t="shared" si="1"/>
        <v>1088.44</v>
      </c>
      <c r="H7" s="35">
        <f t="shared" si="1"/>
        <v>1148.74</v>
      </c>
      <c r="I7" s="35">
        <f t="shared" si="1"/>
        <v>1194.44</v>
      </c>
      <c r="J7" s="35">
        <f t="shared" si="1"/>
        <v>1283.44</v>
      </c>
      <c r="K7" s="35">
        <f t="shared" si="1"/>
        <v>1284.6400000000001</v>
      </c>
      <c r="L7" s="35">
        <f t="shared" si="1"/>
        <v>1251.94</v>
      </c>
      <c r="M7" s="35">
        <f t="shared" si="1"/>
        <v>1462.54</v>
      </c>
      <c r="N7" s="35">
        <f>N89</f>
        <v>1328.54</v>
      </c>
      <c r="O7" s="35">
        <f t="shared" si="1"/>
        <v>1375.04</v>
      </c>
      <c r="P7" s="35">
        <f t="shared" si="1"/>
        <v>1322.6399999999999</v>
      </c>
      <c r="Q7" s="35">
        <f t="shared" si="1"/>
        <v>1270.54</v>
      </c>
      <c r="R7" s="35">
        <f t="shared" si="1"/>
        <v>1240.94</v>
      </c>
      <c r="S7" s="35">
        <f t="shared" si="1"/>
        <v>1200.74</v>
      </c>
      <c r="T7" s="35">
        <f t="shared" si="1"/>
        <v>1218.1400000000001</v>
      </c>
      <c r="U7" s="35">
        <f t="shared" si="1"/>
        <v>1258.04</v>
      </c>
      <c r="V7" s="35">
        <f t="shared" si="1"/>
        <v>1213.2400000000002</v>
      </c>
      <c r="W7" s="35">
        <f t="shared" si="1"/>
        <v>1253.8400000000001</v>
      </c>
      <c r="X7" s="35">
        <f t="shared" si="1"/>
        <v>1378.14</v>
      </c>
      <c r="Y7" s="35">
        <f t="shared" si="1"/>
        <v>1446.6399999999999</v>
      </c>
      <c r="Z7" s="35">
        <f t="shared" si="1"/>
        <v>1493.2399999999998</v>
      </c>
      <c r="AA7" s="35">
        <f t="shared" si="1"/>
        <v>1516.6399999999999</v>
      </c>
      <c r="AB7" s="35">
        <f t="shared" si="1"/>
        <v>1384.04</v>
      </c>
      <c r="AC7" s="35">
        <f t="shared" si="1"/>
        <v>1331.2399999999998</v>
      </c>
      <c r="AD7" s="35">
        <f t="shared" si="1"/>
        <v>1280.54</v>
      </c>
      <c r="AE7" s="35">
        <f t="shared" si="1"/>
        <v>1195.94</v>
      </c>
      <c r="AF7" s="35">
        <f t="shared" si="1"/>
        <v>1096.3399999999999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15.7</v>
      </c>
      <c r="C12" s="45">
        <v>15.7</v>
      </c>
      <c r="D12" s="45">
        <v>18.600000000000001</v>
      </c>
      <c r="E12" s="45">
        <v>18.600000000000001</v>
      </c>
      <c r="F12" s="45">
        <v>18.600000000000001</v>
      </c>
      <c r="G12" s="45">
        <v>18.600000000000001</v>
      </c>
      <c r="H12" s="45">
        <v>18.600000000000001</v>
      </c>
      <c r="I12" s="45">
        <v>18.600000000000001</v>
      </c>
      <c r="J12" s="45">
        <v>18.600000000000001</v>
      </c>
      <c r="K12" s="45">
        <v>18.600000000000001</v>
      </c>
      <c r="L12" s="45">
        <v>18.600000000000001</v>
      </c>
      <c r="M12" s="45">
        <v>18.600000000000001</v>
      </c>
      <c r="N12" s="45">
        <v>18.600000000000001</v>
      </c>
      <c r="O12" s="45">
        <v>18.600000000000001</v>
      </c>
      <c r="P12" s="45">
        <v>18.600000000000001</v>
      </c>
      <c r="Q12" s="45">
        <v>18.600000000000001</v>
      </c>
      <c r="R12" s="45">
        <v>18.600000000000001</v>
      </c>
      <c r="S12" s="45">
        <v>18.600000000000001</v>
      </c>
      <c r="T12" s="45">
        <v>18.600000000000001</v>
      </c>
      <c r="U12" s="45">
        <v>18.600000000000001</v>
      </c>
      <c r="V12" s="45">
        <v>18.600000000000001</v>
      </c>
      <c r="W12" s="45">
        <v>18.600000000000001</v>
      </c>
      <c r="X12" s="45">
        <v>18.600000000000001</v>
      </c>
      <c r="Y12" s="45">
        <v>26.7</v>
      </c>
      <c r="Z12" s="45">
        <v>17.2</v>
      </c>
      <c r="AA12" s="45">
        <v>17.2</v>
      </c>
      <c r="AB12" s="45">
        <v>17.2</v>
      </c>
      <c r="AC12" s="45">
        <v>17.2</v>
      </c>
      <c r="AD12" s="45">
        <v>17.2</v>
      </c>
      <c r="AE12" s="45">
        <v>17.2</v>
      </c>
      <c r="AF12" s="45">
        <v>17.2</v>
      </c>
      <c r="AG12" s="46">
        <v>52.4</v>
      </c>
      <c r="AH12" s="47">
        <f t="shared" si="2"/>
        <v>26.7</v>
      </c>
      <c r="AI12" s="48">
        <f t="shared" si="3"/>
        <v>15.7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</v>
      </c>
      <c r="C13" s="45">
        <v>25</v>
      </c>
      <c r="D13" s="45">
        <v>25</v>
      </c>
      <c r="E13" s="45">
        <v>25</v>
      </c>
      <c r="F13" s="45">
        <v>25</v>
      </c>
      <c r="G13" s="45">
        <v>25</v>
      </c>
      <c r="H13" s="45">
        <v>25</v>
      </c>
      <c r="I13" s="45">
        <v>25</v>
      </c>
      <c r="J13" s="45">
        <v>25</v>
      </c>
      <c r="K13" s="45">
        <v>25</v>
      </c>
      <c r="L13" s="45">
        <v>25</v>
      </c>
      <c r="M13" s="45">
        <v>25</v>
      </c>
      <c r="N13" s="45">
        <v>25</v>
      </c>
      <c r="O13" s="45">
        <v>25</v>
      </c>
      <c r="P13" s="45">
        <v>25</v>
      </c>
      <c r="Q13" s="45">
        <v>25</v>
      </c>
      <c r="R13" s="45">
        <v>25</v>
      </c>
      <c r="S13" s="45">
        <v>25</v>
      </c>
      <c r="T13" s="45">
        <v>25</v>
      </c>
      <c r="U13" s="45">
        <v>50</v>
      </c>
      <c r="V13" s="45">
        <v>32.700000000000003</v>
      </c>
      <c r="W13" s="45">
        <v>32.700000000000003</v>
      </c>
      <c r="X13" s="45">
        <v>32.700000000000003</v>
      </c>
      <c r="Y13" s="45">
        <v>32.700000000000003</v>
      </c>
      <c r="Z13" s="45">
        <v>32.700000000000003</v>
      </c>
      <c r="AA13" s="45">
        <v>32.700000000000003</v>
      </c>
      <c r="AB13" s="45">
        <v>32.700000000000003</v>
      </c>
      <c r="AC13" s="45">
        <v>32.700000000000003</v>
      </c>
      <c r="AD13" s="45">
        <v>32.700000000000003</v>
      </c>
      <c r="AE13" s="45">
        <v>32.700000000000003</v>
      </c>
      <c r="AF13" s="45">
        <v>32.700000000000003</v>
      </c>
      <c r="AG13" s="50">
        <v>50</v>
      </c>
      <c r="AH13" s="47">
        <f t="shared" si="2"/>
        <v>50</v>
      </c>
      <c r="AI13" s="48">
        <f t="shared" si="3"/>
        <v>25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19.100000000000001</v>
      </c>
      <c r="C14" s="45">
        <v>19.100000000000001</v>
      </c>
      <c r="D14" s="45">
        <v>19.100000000000001</v>
      </c>
      <c r="E14" s="45">
        <v>19.100000000000001</v>
      </c>
      <c r="F14" s="45">
        <v>19.100000000000001</v>
      </c>
      <c r="G14" s="45">
        <v>19.100000000000001</v>
      </c>
      <c r="H14" s="45">
        <v>19.100000000000001</v>
      </c>
      <c r="I14" s="45">
        <v>19.100000000000001</v>
      </c>
      <c r="J14" s="45">
        <v>19.100000000000001</v>
      </c>
      <c r="K14" s="45">
        <v>19.100000000000001</v>
      </c>
      <c r="L14" s="45">
        <v>19.100000000000001</v>
      </c>
      <c r="M14" s="45">
        <v>19.100000000000001</v>
      </c>
      <c r="N14" s="45">
        <v>19.100000000000001</v>
      </c>
      <c r="O14" s="45">
        <v>19.100000000000001</v>
      </c>
      <c r="P14" s="45">
        <v>19.100000000000001</v>
      </c>
      <c r="Q14" s="45">
        <v>19.100000000000001</v>
      </c>
      <c r="R14" s="45">
        <v>19.100000000000001</v>
      </c>
      <c r="S14" s="45">
        <v>19.100000000000001</v>
      </c>
      <c r="T14" s="45">
        <v>19.100000000000001</v>
      </c>
      <c r="U14" s="45">
        <v>19.100000000000001</v>
      </c>
      <c r="V14" s="45">
        <v>19.100000000000001</v>
      </c>
      <c r="W14" s="45">
        <v>19.100000000000001</v>
      </c>
      <c r="X14" s="45">
        <v>19.100000000000001</v>
      </c>
      <c r="Y14" s="45">
        <v>15.4</v>
      </c>
      <c r="Z14" s="45">
        <v>19</v>
      </c>
      <c r="AA14" s="45">
        <v>19</v>
      </c>
      <c r="AB14" s="45">
        <v>19</v>
      </c>
      <c r="AC14" s="45">
        <v>19</v>
      </c>
      <c r="AD14" s="45">
        <v>19</v>
      </c>
      <c r="AE14" s="45">
        <v>19</v>
      </c>
      <c r="AF14" s="45">
        <v>19</v>
      </c>
      <c r="AG14" s="50">
        <v>45</v>
      </c>
      <c r="AH14" s="47">
        <f t="shared" si="2"/>
        <v>19.100000000000001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12</v>
      </c>
      <c r="Z15" s="45">
        <v>12</v>
      </c>
      <c r="AA15" s="45">
        <v>12</v>
      </c>
      <c r="AB15" s="45">
        <v>12</v>
      </c>
      <c r="AC15" s="45">
        <v>12</v>
      </c>
      <c r="AD15" s="45">
        <v>12</v>
      </c>
      <c r="AE15" s="45">
        <v>12</v>
      </c>
      <c r="AF15" s="45">
        <v>12</v>
      </c>
      <c r="AG15" s="50">
        <v>42</v>
      </c>
      <c r="AH15" s="47">
        <f t="shared" si="2"/>
        <v>12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50">
        <v>36</v>
      </c>
      <c r="AH17" s="47">
        <f t="shared" si="2"/>
        <v>12.5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7.4</v>
      </c>
      <c r="C18" s="45">
        <v>7.4</v>
      </c>
      <c r="D18" s="45">
        <v>7.4</v>
      </c>
      <c r="E18" s="45">
        <v>7.4</v>
      </c>
      <c r="F18" s="45">
        <v>7.4</v>
      </c>
      <c r="G18" s="45">
        <v>7.4</v>
      </c>
      <c r="H18" s="45">
        <v>7.4</v>
      </c>
      <c r="I18" s="45">
        <v>7.4</v>
      </c>
      <c r="J18" s="45">
        <v>7.4</v>
      </c>
      <c r="K18" s="45">
        <v>7.4</v>
      </c>
      <c r="L18" s="45">
        <v>7.4</v>
      </c>
      <c r="M18" s="45">
        <v>7.4</v>
      </c>
      <c r="N18" s="45">
        <v>7.4</v>
      </c>
      <c r="O18" s="45">
        <v>7.4</v>
      </c>
      <c r="P18" s="45">
        <v>7.4</v>
      </c>
      <c r="Q18" s="45">
        <v>7.4</v>
      </c>
      <c r="R18" s="45">
        <v>7.4</v>
      </c>
      <c r="S18" s="45">
        <v>7.4</v>
      </c>
      <c r="T18" s="45">
        <v>7.4</v>
      </c>
      <c r="U18" s="45">
        <v>7.4</v>
      </c>
      <c r="V18" s="45">
        <v>7.4</v>
      </c>
      <c r="W18" s="45">
        <v>7.4</v>
      </c>
      <c r="X18" s="45">
        <v>7.4</v>
      </c>
      <c r="Y18" s="45">
        <v>7.3</v>
      </c>
      <c r="Z18" s="45">
        <v>8.3000000000000007</v>
      </c>
      <c r="AA18" s="45">
        <v>8.3000000000000007</v>
      </c>
      <c r="AB18" s="45">
        <v>8.3000000000000007</v>
      </c>
      <c r="AC18" s="45">
        <v>8.3000000000000007</v>
      </c>
      <c r="AD18" s="45">
        <v>8.3000000000000007</v>
      </c>
      <c r="AE18" s="45">
        <v>8.3000000000000007</v>
      </c>
      <c r="AF18" s="45">
        <v>8.3000000000000007</v>
      </c>
      <c r="AG18" s="51">
        <v>30</v>
      </c>
      <c r="AH18" s="47">
        <f t="shared" si="2"/>
        <v>8.3000000000000007</v>
      </c>
      <c r="AI18" s="48">
        <f t="shared" si="3"/>
        <v>7.3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7</v>
      </c>
      <c r="Z19" s="45">
        <v>7</v>
      </c>
      <c r="AA19" s="45">
        <v>7</v>
      </c>
      <c r="AB19" s="45">
        <v>7</v>
      </c>
      <c r="AC19" s="45">
        <v>7</v>
      </c>
      <c r="AD19" s="45">
        <v>7</v>
      </c>
      <c r="AE19" s="45">
        <v>7</v>
      </c>
      <c r="AF19" s="45">
        <v>7</v>
      </c>
      <c r="AG19" s="50">
        <v>24.2</v>
      </c>
      <c r="AH19" s="47">
        <f t="shared" si="2"/>
        <v>7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2.1</v>
      </c>
      <c r="C22" s="45">
        <v>2.1</v>
      </c>
      <c r="D22" s="45">
        <v>2.1</v>
      </c>
      <c r="E22" s="45">
        <v>2.1</v>
      </c>
      <c r="F22" s="45">
        <v>2.1</v>
      </c>
      <c r="G22" s="45">
        <v>2.1</v>
      </c>
      <c r="H22" s="45">
        <v>2.1</v>
      </c>
      <c r="I22" s="45">
        <v>2.1</v>
      </c>
      <c r="J22" s="45">
        <v>2.1</v>
      </c>
      <c r="K22" s="45">
        <v>2.1</v>
      </c>
      <c r="L22" s="45">
        <v>2.1</v>
      </c>
      <c r="M22" s="45">
        <v>2.1</v>
      </c>
      <c r="N22" s="45">
        <v>2.1</v>
      </c>
      <c r="O22" s="45">
        <v>2.1</v>
      </c>
      <c r="P22" s="45">
        <v>2.1</v>
      </c>
      <c r="Q22" s="45">
        <v>2.1</v>
      </c>
      <c r="R22" s="45">
        <v>2.1</v>
      </c>
      <c r="S22" s="45">
        <v>10.199999999999999</v>
      </c>
      <c r="T22" s="45">
        <v>10.199999999999999</v>
      </c>
      <c r="U22" s="45">
        <v>10.199999999999999</v>
      </c>
      <c r="V22" s="45">
        <v>10.199999999999999</v>
      </c>
      <c r="W22" s="45">
        <v>10.199999999999999</v>
      </c>
      <c r="X22" s="45">
        <v>10.199999999999999</v>
      </c>
      <c r="Y22" s="45">
        <v>2.1</v>
      </c>
      <c r="Z22" s="45">
        <v>13.2</v>
      </c>
      <c r="AA22" s="45">
        <v>13.2</v>
      </c>
      <c r="AB22" s="45">
        <v>13.2</v>
      </c>
      <c r="AC22" s="45">
        <v>13.2</v>
      </c>
      <c r="AD22" s="45">
        <v>13.2</v>
      </c>
      <c r="AE22" s="45">
        <v>13.2</v>
      </c>
      <c r="AF22" s="45">
        <v>13.2</v>
      </c>
      <c r="AG22" s="50">
        <v>25</v>
      </c>
      <c r="AH22" s="47">
        <f t="shared" si="2"/>
        <v>13.2</v>
      </c>
      <c r="AI22" s="48">
        <f t="shared" si="3"/>
        <v>2.1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6.8</v>
      </c>
      <c r="C26" s="45">
        <v>6.8</v>
      </c>
      <c r="D26" s="45">
        <v>6.8</v>
      </c>
      <c r="E26" s="45">
        <v>6.8</v>
      </c>
      <c r="F26" s="45">
        <v>6.8</v>
      </c>
      <c r="G26" s="45">
        <v>6.8</v>
      </c>
      <c r="H26" s="45">
        <v>6.8</v>
      </c>
      <c r="I26" s="45">
        <v>6.8</v>
      </c>
      <c r="J26" s="45">
        <v>6.8</v>
      </c>
      <c r="K26" s="45">
        <v>6.8</v>
      </c>
      <c r="L26" s="45">
        <v>6.8</v>
      </c>
      <c r="M26" s="45">
        <v>6.8</v>
      </c>
      <c r="N26" s="45">
        <v>6.8</v>
      </c>
      <c r="O26" s="45">
        <v>6.8</v>
      </c>
      <c r="P26" s="45">
        <v>6.8</v>
      </c>
      <c r="Q26" s="45">
        <v>6.8</v>
      </c>
      <c r="R26" s="45">
        <v>6.8</v>
      </c>
      <c r="S26" s="45">
        <v>6.8</v>
      </c>
      <c r="T26" s="45">
        <v>6.8</v>
      </c>
      <c r="U26" s="45">
        <v>6.8</v>
      </c>
      <c r="V26" s="45">
        <v>6.8</v>
      </c>
      <c r="W26" s="45">
        <v>6.8</v>
      </c>
      <c r="X26" s="45">
        <v>6.8</v>
      </c>
      <c r="Y26" s="45">
        <v>6.8</v>
      </c>
      <c r="Z26" s="45">
        <v>6.2</v>
      </c>
      <c r="AA26" s="45">
        <v>6.2</v>
      </c>
      <c r="AB26" s="45">
        <v>6.2</v>
      </c>
      <c r="AC26" s="45">
        <v>6.2</v>
      </c>
      <c r="AD26" s="45">
        <v>6.2</v>
      </c>
      <c r="AE26" s="45">
        <v>6.2</v>
      </c>
      <c r="AF26" s="45">
        <v>6.2</v>
      </c>
      <c r="AG26" s="50">
        <v>23.5</v>
      </c>
      <c r="AH26" s="47">
        <f t="shared" si="2"/>
        <v>6.8</v>
      </c>
      <c r="AI26" s="48">
        <f t="shared" si="3"/>
        <v>6.2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</v>
      </c>
      <c r="C30" s="45">
        <v>8</v>
      </c>
      <c r="D30" s="45">
        <v>8</v>
      </c>
      <c r="E30" s="45">
        <v>8</v>
      </c>
      <c r="F30" s="45">
        <v>8</v>
      </c>
      <c r="G30" s="45">
        <v>8</v>
      </c>
      <c r="H30" s="45">
        <v>8</v>
      </c>
      <c r="I30" s="45">
        <v>8</v>
      </c>
      <c r="J30" s="45">
        <v>8</v>
      </c>
      <c r="K30" s="45">
        <v>8</v>
      </c>
      <c r="L30" s="45">
        <v>8</v>
      </c>
      <c r="M30" s="45">
        <v>8</v>
      </c>
      <c r="N30" s="45">
        <v>8</v>
      </c>
      <c r="O30" s="45">
        <v>8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50">
        <v>22</v>
      </c>
      <c r="AH30" s="47">
        <f t="shared" si="2"/>
        <v>8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8.5</v>
      </c>
      <c r="C42" s="45">
        <v>8.5</v>
      </c>
      <c r="D42" s="45">
        <v>8.5</v>
      </c>
      <c r="E42" s="45">
        <v>8.5</v>
      </c>
      <c r="F42" s="45">
        <v>8.5</v>
      </c>
      <c r="G42" s="45">
        <v>8.5</v>
      </c>
      <c r="H42" s="45">
        <v>8.5</v>
      </c>
      <c r="I42" s="45">
        <v>8.5</v>
      </c>
      <c r="J42" s="45">
        <v>8.5</v>
      </c>
      <c r="K42" s="45">
        <v>8.5</v>
      </c>
      <c r="L42" s="45">
        <v>8.5</v>
      </c>
      <c r="M42" s="45">
        <v>8.5</v>
      </c>
      <c r="N42" s="45">
        <v>8.5</v>
      </c>
      <c r="O42" s="45">
        <v>8.5</v>
      </c>
      <c r="P42" s="45">
        <v>8.5</v>
      </c>
      <c r="Q42" s="45">
        <v>8.5</v>
      </c>
      <c r="R42" s="45">
        <v>8.5</v>
      </c>
      <c r="S42" s="45">
        <v>8.5</v>
      </c>
      <c r="T42" s="45">
        <v>8.5</v>
      </c>
      <c r="U42" s="45">
        <v>8.5</v>
      </c>
      <c r="V42" s="45">
        <v>8.5</v>
      </c>
      <c r="W42" s="45">
        <v>8.5</v>
      </c>
      <c r="X42" s="45">
        <v>8.5</v>
      </c>
      <c r="Y42" s="45">
        <v>8.5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8.5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6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359.70000000000005</v>
      </c>
      <c r="C48" s="60">
        <f t="shared" si="4"/>
        <v>359.70000000000005</v>
      </c>
      <c r="D48" s="60">
        <f t="shared" si="4"/>
        <v>362.6</v>
      </c>
      <c r="E48" s="60">
        <f t="shared" si="4"/>
        <v>362.6</v>
      </c>
      <c r="F48" s="60">
        <f t="shared" si="4"/>
        <v>362.6</v>
      </c>
      <c r="G48" s="60">
        <f t="shared" si="4"/>
        <v>362.6</v>
      </c>
      <c r="H48" s="60">
        <f t="shared" si="4"/>
        <v>362.6</v>
      </c>
      <c r="I48" s="60">
        <f t="shared" si="4"/>
        <v>362.6</v>
      </c>
      <c r="J48" s="60">
        <f t="shared" si="4"/>
        <v>362.6</v>
      </c>
      <c r="K48" s="60">
        <f t="shared" si="4"/>
        <v>362.6</v>
      </c>
      <c r="L48" s="60">
        <f t="shared" si="4"/>
        <v>362.6</v>
      </c>
      <c r="M48" s="60">
        <f t="shared" si="4"/>
        <v>362.6</v>
      </c>
      <c r="N48" s="60">
        <f t="shared" si="4"/>
        <v>362.6</v>
      </c>
      <c r="O48" s="60">
        <f t="shared" si="4"/>
        <v>362.6</v>
      </c>
      <c r="P48" s="60">
        <f t="shared" si="4"/>
        <v>362.6</v>
      </c>
      <c r="Q48" s="60">
        <f t="shared" si="4"/>
        <v>362.6</v>
      </c>
      <c r="R48" s="60">
        <f t="shared" si="4"/>
        <v>362.6</v>
      </c>
      <c r="S48" s="60">
        <f t="shared" si="4"/>
        <v>370.70000000000005</v>
      </c>
      <c r="T48" s="60">
        <f t="shared" si="4"/>
        <v>370.70000000000005</v>
      </c>
      <c r="U48" s="60">
        <f t="shared" si="4"/>
        <v>395.7</v>
      </c>
      <c r="V48" s="60">
        <f t="shared" si="4"/>
        <v>378.40000000000003</v>
      </c>
      <c r="W48" s="60">
        <f t="shared" si="4"/>
        <v>378.40000000000003</v>
      </c>
      <c r="X48" s="60">
        <f t="shared" si="4"/>
        <v>378.40000000000003</v>
      </c>
      <c r="Y48" s="60">
        <v>371.3</v>
      </c>
      <c r="Z48" s="60">
        <f t="shared" si="4"/>
        <v>380.09999999999997</v>
      </c>
      <c r="AA48" s="60">
        <f t="shared" ref="AA48" si="5">SUM(AA12:AA46)</f>
        <v>380.09999999999997</v>
      </c>
      <c r="AB48" s="60">
        <f t="shared" si="4"/>
        <v>380.09999999999997</v>
      </c>
      <c r="AC48" s="60">
        <f t="shared" si="4"/>
        <v>380.09999999999997</v>
      </c>
      <c r="AD48" s="60">
        <f t="shared" si="4"/>
        <v>380.09999999999997</v>
      </c>
      <c r="AE48" s="60">
        <f t="shared" si="4"/>
        <v>380.09999999999997</v>
      </c>
      <c r="AF48" s="60">
        <f t="shared" si="4"/>
        <v>380.09999999999997</v>
      </c>
      <c r="AG48" s="61">
        <f t="shared" si="4"/>
        <v>875.68</v>
      </c>
      <c r="AH48" s="47">
        <f t="shared" si="2"/>
        <v>395.7</v>
      </c>
      <c r="AI48" s="48">
        <f t="shared" si="3"/>
        <v>359.70000000000005</v>
      </c>
      <c r="AK48" s="49"/>
    </row>
    <row r="49" spans="1:41" x14ac:dyDescent="0.25">
      <c r="A49" s="62" t="s">
        <v>53</v>
      </c>
      <c r="B49" s="45">
        <v>35</v>
      </c>
      <c r="C49" s="45">
        <v>55</v>
      </c>
      <c r="D49" s="45">
        <v>70</v>
      </c>
      <c r="E49" s="45">
        <v>50</v>
      </c>
      <c r="F49" s="45">
        <v>30</v>
      </c>
      <c r="G49" s="45">
        <v>15</v>
      </c>
      <c r="H49" s="45">
        <v>30</v>
      </c>
      <c r="I49" s="45">
        <v>30</v>
      </c>
      <c r="J49" s="45">
        <v>80</v>
      </c>
      <c r="K49" s="45">
        <v>150</v>
      </c>
      <c r="L49" s="45">
        <v>150</v>
      </c>
      <c r="M49" s="45">
        <v>100</v>
      </c>
      <c r="N49" s="63">
        <v>30</v>
      </c>
      <c r="O49" s="45">
        <v>70</v>
      </c>
      <c r="P49" s="45">
        <v>70</v>
      </c>
      <c r="Q49" s="45">
        <v>70</v>
      </c>
      <c r="R49" s="45">
        <v>75</v>
      </c>
      <c r="S49" s="45">
        <v>20</v>
      </c>
      <c r="T49" s="45">
        <v>50</v>
      </c>
      <c r="U49" s="45">
        <v>50</v>
      </c>
      <c r="V49" s="45">
        <v>100</v>
      </c>
      <c r="W49" s="45">
        <v>110</v>
      </c>
      <c r="X49" s="45">
        <v>130</v>
      </c>
      <c r="Y49" s="45">
        <v>120</v>
      </c>
      <c r="Z49" s="45">
        <v>150</v>
      </c>
      <c r="AA49" s="45">
        <v>180</v>
      </c>
      <c r="AB49" s="45">
        <v>102</v>
      </c>
      <c r="AC49" s="45">
        <v>60</v>
      </c>
      <c r="AD49" s="45">
        <v>26.3</v>
      </c>
      <c r="AE49" s="45">
        <v>0</v>
      </c>
      <c r="AF49" s="45">
        <v>0</v>
      </c>
      <c r="AG49" s="51">
        <v>456</v>
      </c>
      <c r="AH49" s="47">
        <f t="shared" si="2"/>
        <v>180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</v>
      </c>
      <c r="C51" s="67">
        <v>10</v>
      </c>
      <c r="D51" s="67">
        <v>10</v>
      </c>
      <c r="E51" s="67">
        <v>10</v>
      </c>
      <c r="F51" s="67">
        <v>10</v>
      </c>
      <c r="G51" s="67">
        <v>10</v>
      </c>
      <c r="H51" s="67">
        <v>10</v>
      </c>
      <c r="I51" s="67">
        <v>10</v>
      </c>
      <c r="J51" s="67">
        <v>10</v>
      </c>
      <c r="K51" s="67">
        <v>10</v>
      </c>
      <c r="L51" s="67">
        <v>10</v>
      </c>
      <c r="M51" s="67">
        <v>10</v>
      </c>
      <c r="N51" s="67">
        <v>10</v>
      </c>
      <c r="O51" s="67">
        <v>10</v>
      </c>
      <c r="P51" s="67">
        <v>10</v>
      </c>
      <c r="Q51" s="67">
        <v>10</v>
      </c>
      <c r="R51" s="67">
        <v>10</v>
      </c>
      <c r="S51" s="67">
        <v>10</v>
      </c>
      <c r="T51" s="67">
        <v>10</v>
      </c>
      <c r="U51" s="67">
        <v>10</v>
      </c>
      <c r="V51" s="67">
        <v>10</v>
      </c>
      <c r="W51" s="67">
        <v>10</v>
      </c>
      <c r="X51" s="67">
        <v>10</v>
      </c>
      <c r="Y51" s="67">
        <v>10</v>
      </c>
      <c r="Z51" s="67">
        <v>10</v>
      </c>
      <c r="AA51" s="67">
        <v>10</v>
      </c>
      <c r="AB51" s="67">
        <v>10</v>
      </c>
      <c r="AC51" s="67">
        <v>10</v>
      </c>
      <c r="AD51" s="67">
        <v>10</v>
      </c>
      <c r="AE51" s="67">
        <v>10</v>
      </c>
      <c r="AF51" s="67">
        <v>10</v>
      </c>
      <c r="AG51" s="68">
        <v>22.1</v>
      </c>
      <c r="AH51" s="47">
        <f t="shared" si="2"/>
        <v>10</v>
      </c>
      <c r="AI51" s="48">
        <f t="shared" si="3"/>
        <v>10</v>
      </c>
      <c r="AK51" s="49"/>
    </row>
    <row r="52" spans="1:41" ht="15.75" thickBot="1" x14ac:dyDescent="0.3">
      <c r="A52" s="69" t="s">
        <v>56</v>
      </c>
      <c r="B52" s="60">
        <f t="shared" ref="B52:AG52" si="6">SUM(B49:B51)</f>
        <v>72</v>
      </c>
      <c r="C52" s="60">
        <f t="shared" si="6"/>
        <v>92</v>
      </c>
      <c r="D52" s="60">
        <f t="shared" si="6"/>
        <v>107</v>
      </c>
      <c r="E52" s="60">
        <f t="shared" si="6"/>
        <v>87</v>
      </c>
      <c r="F52" s="60">
        <f t="shared" si="6"/>
        <v>67</v>
      </c>
      <c r="G52" s="60">
        <f t="shared" si="6"/>
        <v>52</v>
      </c>
      <c r="H52" s="60">
        <f t="shared" si="6"/>
        <v>67</v>
      </c>
      <c r="I52" s="60">
        <f t="shared" si="6"/>
        <v>67</v>
      </c>
      <c r="J52" s="60">
        <f t="shared" si="6"/>
        <v>117</v>
      </c>
      <c r="K52" s="60">
        <f t="shared" si="6"/>
        <v>187</v>
      </c>
      <c r="L52" s="60">
        <f t="shared" si="6"/>
        <v>187</v>
      </c>
      <c r="M52" s="60">
        <f t="shared" si="6"/>
        <v>137</v>
      </c>
      <c r="N52" s="60">
        <f t="shared" si="6"/>
        <v>67</v>
      </c>
      <c r="O52" s="60">
        <f t="shared" si="6"/>
        <v>107</v>
      </c>
      <c r="P52" s="60">
        <f t="shared" si="6"/>
        <v>107</v>
      </c>
      <c r="Q52" s="60">
        <f t="shared" si="6"/>
        <v>107</v>
      </c>
      <c r="R52" s="60">
        <f t="shared" si="6"/>
        <v>112</v>
      </c>
      <c r="S52" s="60">
        <f t="shared" si="6"/>
        <v>57</v>
      </c>
      <c r="T52" s="60">
        <f t="shared" si="6"/>
        <v>87</v>
      </c>
      <c r="U52" s="60">
        <f t="shared" si="6"/>
        <v>87</v>
      </c>
      <c r="V52" s="60">
        <f t="shared" si="6"/>
        <v>137</v>
      </c>
      <c r="W52" s="60">
        <f t="shared" si="6"/>
        <v>147</v>
      </c>
      <c r="X52" s="60">
        <f t="shared" si="6"/>
        <v>167</v>
      </c>
      <c r="Y52" s="60">
        <v>157</v>
      </c>
      <c r="Z52" s="60">
        <f t="shared" si="6"/>
        <v>187</v>
      </c>
      <c r="AA52" s="60">
        <f t="shared" ref="AA52" si="7">SUM(AA49:AA51)</f>
        <v>217</v>
      </c>
      <c r="AB52" s="60">
        <f t="shared" si="6"/>
        <v>139</v>
      </c>
      <c r="AC52" s="60">
        <f t="shared" si="6"/>
        <v>97</v>
      </c>
      <c r="AD52" s="60">
        <f t="shared" si="6"/>
        <v>63.3</v>
      </c>
      <c r="AE52" s="60">
        <f t="shared" si="6"/>
        <v>37</v>
      </c>
      <c r="AF52" s="60">
        <f t="shared" si="6"/>
        <v>37</v>
      </c>
      <c r="AG52" s="61">
        <f t="shared" si="6"/>
        <v>538.1</v>
      </c>
      <c r="AH52" s="47">
        <f t="shared" si="2"/>
        <v>217</v>
      </c>
      <c r="AI52" s="48">
        <f t="shared" si="3"/>
        <v>37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28.7</v>
      </c>
      <c r="F53" s="45">
        <v>48</v>
      </c>
      <c r="G53" s="45">
        <v>41</v>
      </c>
      <c r="H53" s="45">
        <v>61.3</v>
      </c>
      <c r="I53" s="45">
        <v>83</v>
      </c>
      <c r="J53" s="45">
        <v>97</v>
      </c>
      <c r="K53" s="45">
        <v>97</v>
      </c>
      <c r="L53" s="45">
        <v>124</v>
      </c>
      <c r="M53" s="45">
        <v>134</v>
      </c>
      <c r="N53" s="45">
        <v>40.9</v>
      </c>
      <c r="O53" s="45">
        <v>40.9</v>
      </c>
      <c r="P53" s="45">
        <v>35.700000000000003</v>
      </c>
      <c r="Q53" s="45">
        <v>35.6</v>
      </c>
      <c r="R53" s="45">
        <v>35.6</v>
      </c>
      <c r="S53" s="45">
        <v>35.700000000000003</v>
      </c>
      <c r="T53" s="45">
        <v>35.5</v>
      </c>
      <c r="U53" s="45">
        <v>35.5</v>
      </c>
      <c r="V53" s="45">
        <v>0</v>
      </c>
      <c r="W53" s="45">
        <v>0</v>
      </c>
      <c r="X53" s="45">
        <v>87.7</v>
      </c>
      <c r="Y53" s="45">
        <v>142.6</v>
      </c>
      <c r="Z53" s="45">
        <v>141.30000000000001</v>
      </c>
      <c r="AA53" s="45">
        <v>140</v>
      </c>
      <c r="AB53" s="45">
        <v>132</v>
      </c>
      <c r="AC53" s="45">
        <v>120</v>
      </c>
      <c r="AD53" s="45">
        <v>103</v>
      </c>
      <c r="AE53" s="45">
        <v>61</v>
      </c>
      <c r="AF53" s="45">
        <v>30.4</v>
      </c>
      <c r="AG53" s="51">
        <v>144</v>
      </c>
      <c r="AH53" s="47">
        <f t="shared" si="2"/>
        <v>142.6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16</v>
      </c>
      <c r="C55" s="65">
        <v>16</v>
      </c>
      <c r="D55" s="65">
        <v>16</v>
      </c>
      <c r="E55" s="65">
        <v>0</v>
      </c>
      <c r="F55" s="65">
        <v>0</v>
      </c>
      <c r="G55" s="65">
        <v>0</v>
      </c>
      <c r="H55" s="65">
        <v>0</v>
      </c>
      <c r="I55" s="65">
        <v>20</v>
      </c>
      <c r="J55" s="65">
        <v>33</v>
      </c>
      <c r="K55" s="65">
        <v>51.2</v>
      </c>
      <c r="L55" s="65">
        <v>51.2</v>
      </c>
      <c r="M55" s="65">
        <v>69</v>
      </c>
      <c r="N55" s="65">
        <v>62.5</v>
      </c>
      <c r="O55" s="65">
        <v>62.5</v>
      </c>
      <c r="P55" s="65">
        <v>36</v>
      </c>
      <c r="Q55" s="65">
        <v>32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33.299999999999997</v>
      </c>
      <c r="Y55" s="45">
        <v>70.099999999999994</v>
      </c>
      <c r="Z55" s="45">
        <v>69.5</v>
      </c>
      <c r="AA55" s="45">
        <v>69.2</v>
      </c>
      <c r="AB55" s="45">
        <v>51.8</v>
      </c>
      <c r="AC55" s="45">
        <v>33</v>
      </c>
      <c r="AD55" s="45">
        <v>33</v>
      </c>
      <c r="AE55" s="45">
        <v>19</v>
      </c>
      <c r="AF55" s="45">
        <v>0</v>
      </c>
      <c r="AG55" s="54">
        <v>69</v>
      </c>
      <c r="AH55" s="47">
        <f t="shared" si="2"/>
        <v>70.099999999999994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38.299999999999997</v>
      </c>
      <c r="C56" s="65">
        <v>38.299999999999997</v>
      </c>
      <c r="D56" s="65">
        <v>38.299999999999997</v>
      </c>
      <c r="E56" s="65">
        <v>38.299999999999997</v>
      </c>
      <c r="F56" s="65">
        <v>40.299999999999997</v>
      </c>
      <c r="G56" s="65">
        <v>40.299999999999997</v>
      </c>
      <c r="H56" s="65">
        <v>40.299999999999997</v>
      </c>
      <c r="I56" s="65">
        <v>40.299999999999997</v>
      </c>
      <c r="J56" s="65">
        <v>40.299999999999997</v>
      </c>
      <c r="K56" s="65">
        <v>40.299999999999997</v>
      </c>
      <c r="L56" s="65">
        <v>40.299999999999997</v>
      </c>
      <c r="M56" s="65">
        <v>40.299999999999997</v>
      </c>
      <c r="N56" s="65">
        <v>40.299999999999997</v>
      </c>
      <c r="O56" s="65">
        <v>40.299999999999997</v>
      </c>
      <c r="P56" s="65">
        <v>40.299999999999997</v>
      </c>
      <c r="Q56" s="65">
        <v>40.299999999999997</v>
      </c>
      <c r="R56" s="65">
        <v>40.299999999999997</v>
      </c>
      <c r="S56" s="65">
        <v>40.299999999999997</v>
      </c>
      <c r="T56" s="65">
        <v>40.299999999999997</v>
      </c>
      <c r="U56" s="65">
        <v>40.299999999999997</v>
      </c>
      <c r="V56" s="65">
        <v>40.299999999999997</v>
      </c>
      <c r="W56" s="65">
        <v>40.299999999999997</v>
      </c>
      <c r="X56" s="65">
        <v>40.299999999999997</v>
      </c>
      <c r="Y56" s="65">
        <v>40.299999999999997</v>
      </c>
      <c r="Z56" s="65">
        <v>42.3</v>
      </c>
      <c r="AA56" s="65">
        <v>42.3</v>
      </c>
      <c r="AB56" s="65">
        <v>42.3</v>
      </c>
      <c r="AC56" s="65">
        <v>42.3</v>
      </c>
      <c r="AD56" s="65">
        <v>42.3</v>
      </c>
      <c r="AE56" s="65">
        <v>42.3</v>
      </c>
      <c r="AF56" s="65">
        <v>42.3</v>
      </c>
      <c r="AG56" s="54">
        <v>60</v>
      </c>
      <c r="AH56" s="47">
        <f t="shared" si="2"/>
        <v>42.3</v>
      </c>
      <c r="AI56" s="48">
        <f t="shared" si="3"/>
        <v>38.299999999999997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13</v>
      </c>
      <c r="H57" s="65">
        <v>15</v>
      </c>
      <c r="I57" s="65">
        <v>15</v>
      </c>
      <c r="J57" s="65">
        <v>26</v>
      </c>
      <c r="K57" s="65">
        <v>30</v>
      </c>
      <c r="L57" s="65">
        <v>30</v>
      </c>
      <c r="M57" s="65">
        <v>30</v>
      </c>
      <c r="N57" s="65">
        <v>30</v>
      </c>
      <c r="O57" s="65">
        <v>30</v>
      </c>
      <c r="P57" s="65">
        <v>30</v>
      </c>
      <c r="Q57" s="65">
        <v>30</v>
      </c>
      <c r="R57" s="65">
        <v>30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13</v>
      </c>
      <c r="Z57" s="65">
        <v>27.6</v>
      </c>
      <c r="AA57" s="65">
        <v>27.6</v>
      </c>
      <c r="AB57" s="65">
        <v>27.6</v>
      </c>
      <c r="AC57" s="65">
        <v>15</v>
      </c>
      <c r="AD57" s="65">
        <v>15</v>
      </c>
      <c r="AE57" s="65">
        <v>15</v>
      </c>
      <c r="AF57" s="65">
        <v>15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12.9</v>
      </c>
      <c r="C59" s="65">
        <v>12.9</v>
      </c>
      <c r="D59" s="65">
        <v>12.9</v>
      </c>
      <c r="E59" s="65">
        <v>12.9</v>
      </c>
      <c r="F59" s="65">
        <v>12.9</v>
      </c>
      <c r="G59" s="65">
        <v>12.9</v>
      </c>
      <c r="H59" s="65">
        <v>12.9</v>
      </c>
      <c r="I59" s="65">
        <v>12.9</v>
      </c>
      <c r="J59" s="65">
        <v>12.9</v>
      </c>
      <c r="K59" s="65">
        <v>12.9</v>
      </c>
      <c r="L59" s="65">
        <v>12.9</v>
      </c>
      <c r="M59" s="65">
        <v>12.9</v>
      </c>
      <c r="N59" s="65">
        <v>12.9</v>
      </c>
      <c r="O59" s="65">
        <v>12.9</v>
      </c>
      <c r="P59" s="65">
        <v>12.9</v>
      </c>
      <c r="Q59" s="65">
        <v>12.9</v>
      </c>
      <c r="R59" s="65">
        <v>12.9</v>
      </c>
      <c r="S59" s="65">
        <v>12.9</v>
      </c>
      <c r="T59" s="65">
        <v>12.9</v>
      </c>
      <c r="U59" s="65">
        <v>12.9</v>
      </c>
      <c r="V59" s="65">
        <v>12.9</v>
      </c>
      <c r="W59" s="65">
        <v>12.9</v>
      </c>
      <c r="X59" s="65">
        <v>12.9</v>
      </c>
      <c r="Y59" s="65">
        <v>12.9</v>
      </c>
      <c r="Z59" s="65">
        <v>12.9</v>
      </c>
      <c r="AA59" s="65">
        <v>12.9</v>
      </c>
      <c r="AB59" s="65">
        <v>12.9</v>
      </c>
      <c r="AC59" s="65">
        <v>12.9</v>
      </c>
      <c r="AD59" s="65">
        <v>12.9</v>
      </c>
      <c r="AE59" s="65">
        <v>12.9</v>
      </c>
      <c r="AF59" s="65">
        <v>12.9</v>
      </c>
      <c r="AG59" s="54">
        <v>24</v>
      </c>
      <c r="AH59" s="47">
        <f t="shared" si="2"/>
        <v>12.9</v>
      </c>
      <c r="AI59" s="48">
        <f t="shared" si="3"/>
        <v>12.9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3.1</v>
      </c>
      <c r="C62" s="65">
        <v>3.1</v>
      </c>
      <c r="D62" s="65">
        <v>3.1</v>
      </c>
      <c r="E62" s="65">
        <v>4.7</v>
      </c>
      <c r="F62" s="65">
        <v>4.7</v>
      </c>
      <c r="G62" s="65">
        <v>4.7</v>
      </c>
      <c r="H62" s="65">
        <v>4.7</v>
      </c>
      <c r="I62" s="65">
        <v>4.7</v>
      </c>
      <c r="J62" s="65">
        <v>4.7</v>
      </c>
      <c r="K62" s="65">
        <v>4.7</v>
      </c>
      <c r="L62" s="65">
        <v>4.7</v>
      </c>
      <c r="M62" s="65">
        <v>4.7</v>
      </c>
      <c r="N62" s="65">
        <v>4.7</v>
      </c>
      <c r="O62" s="65">
        <v>4.7</v>
      </c>
      <c r="P62" s="65">
        <v>4.7</v>
      </c>
      <c r="Q62" s="65">
        <v>4.7</v>
      </c>
      <c r="R62" s="65">
        <v>4.7</v>
      </c>
      <c r="S62" s="65">
        <v>4.7</v>
      </c>
      <c r="T62" s="65">
        <v>4.7</v>
      </c>
      <c r="U62" s="65">
        <v>4.7</v>
      </c>
      <c r="V62" s="65">
        <v>4.7</v>
      </c>
      <c r="W62" s="65">
        <v>4.7</v>
      </c>
      <c r="X62" s="65">
        <v>4.7</v>
      </c>
      <c r="Y62" s="65">
        <v>4.7</v>
      </c>
      <c r="Z62" s="65">
        <v>4.7</v>
      </c>
      <c r="AA62" s="65">
        <v>4.7</v>
      </c>
      <c r="AB62" s="65">
        <v>4.7</v>
      </c>
      <c r="AC62" s="65">
        <v>4.7</v>
      </c>
      <c r="AD62" s="65">
        <v>4.7</v>
      </c>
      <c r="AE62" s="65">
        <v>4.7</v>
      </c>
      <c r="AF62" s="65">
        <v>4.7</v>
      </c>
      <c r="AG62" s="54">
        <v>14</v>
      </c>
      <c r="AH62" s="47">
        <f t="shared" si="2"/>
        <v>4.7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4.4000000000000004</v>
      </c>
      <c r="C63" s="65">
        <v>4.4000000000000004</v>
      </c>
      <c r="D63" s="65">
        <v>4.4000000000000004</v>
      </c>
      <c r="E63" s="65">
        <v>4.4000000000000004</v>
      </c>
      <c r="F63" s="65">
        <v>4.4000000000000004</v>
      </c>
      <c r="G63" s="65">
        <v>4.4000000000000004</v>
      </c>
      <c r="H63" s="65">
        <v>4.4000000000000004</v>
      </c>
      <c r="I63" s="65">
        <v>4.4000000000000004</v>
      </c>
      <c r="J63" s="65">
        <v>4.4000000000000004</v>
      </c>
      <c r="K63" s="65">
        <v>4.4000000000000004</v>
      </c>
      <c r="L63" s="65">
        <v>4.4000000000000004</v>
      </c>
      <c r="M63" s="65">
        <v>4.4000000000000004</v>
      </c>
      <c r="N63" s="65">
        <v>4.4000000000000004</v>
      </c>
      <c r="O63" s="65">
        <v>4.4000000000000004</v>
      </c>
      <c r="P63" s="65">
        <v>4.4000000000000004</v>
      </c>
      <c r="Q63" s="65">
        <v>4.4000000000000004</v>
      </c>
      <c r="R63" s="65">
        <v>4.4000000000000004</v>
      </c>
      <c r="S63" s="65">
        <v>4.4000000000000004</v>
      </c>
      <c r="T63" s="65">
        <v>4.4000000000000004</v>
      </c>
      <c r="U63" s="65">
        <v>4.4000000000000004</v>
      </c>
      <c r="V63" s="65">
        <v>4.4000000000000004</v>
      </c>
      <c r="W63" s="65">
        <v>4.4000000000000004</v>
      </c>
      <c r="X63" s="65">
        <v>4.4000000000000004</v>
      </c>
      <c r="Y63" s="65">
        <v>4.4000000000000004</v>
      </c>
      <c r="Z63" s="65">
        <v>4.4000000000000004</v>
      </c>
      <c r="AA63" s="65">
        <v>4.4000000000000004</v>
      </c>
      <c r="AB63" s="65">
        <v>4.4000000000000004</v>
      </c>
      <c r="AC63" s="65">
        <v>4.4000000000000004</v>
      </c>
      <c r="AD63" s="65">
        <v>4.4000000000000004</v>
      </c>
      <c r="AE63" s="65">
        <v>4.4000000000000004</v>
      </c>
      <c r="AF63" s="65">
        <v>4.4000000000000004</v>
      </c>
      <c r="AG63" s="54">
        <v>10.050000000000001</v>
      </c>
      <c r="AH63" s="47">
        <f t="shared" si="2"/>
        <v>4.4000000000000004</v>
      </c>
      <c r="AI63" s="48">
        <f t="shared" si="3"/>
        <v>4.4000000000000004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8">SUM(B53:B65)</f>
        <v>92.240000000000009</v>
      </c>
      <c r="C66" s="60">
        <f t="shared" si="8"/>
        <v>92.240000000000009</v>
      </c>
      <c r="D66" s="60">
        <f t="shared" si="8"/>
        <v>92.240000000000009</v>
      </c>
      <c r="E66" s="60">
        <f t="shared" si="8"/>
        <v>106.54000000000002</v>
      </c>
      <c r="F66" s="60">
        <f t="shared" si="8"/>
        <v>127.84000000000002</v>
      </c>
      <c r="G66" s="60">
        <f t="shared" si="8"/>
        <v>133.84</v>
      </c>
      <c r="H66" s="60">
        <f t="shared" si="8"/>
        <v>156.13999999999999</v>
      </c>
      <c r="I66" s="60">
        <f t="shared" si="8"/>
        <v>197.84</v>
      </c>
      <c r="J66" s="60">
        <f t="shared" si="8"/>
        <v>235.84</v>
      </c>
      <c r="K66" s="60">
        <f t="shared" si="8"/>
        <v>258.04000000000002</v>
      </c>
      <c r="L66" s="60">
        <f t="shared" si="8"/>
        <v>285.03999999999996</v>
      </c>
      <c r="M66" s="60">
        <f t="shared" si="8"/>
        <v>312.83999999999997</v>
      </c>
      <c r="N66" s="60">
        <f t="shared" si="8"/>
        <v>213.23999999999998</v>
      </c>
      <c r="O66" s="60">
        <f t="shared" si="8"/>
        <v>213.23999999999998</v>
      </c>
      <c r="P66" s="60">
        <f t="shared" si="8"/>
        <v>181.54</v>
      </c>
      <c r="Q66" s="60">
        <f t="shared" si="8"/>
        <v>177.43999999999997</v>
      </c>
      <c r="R66" s="60">
        <f t="shared" si="8"/>
        <v>145.44</v>
      </c>
      <c r="S66" s="60">
        <f t="shared" si="8"/>
        <v>115.54000000000002</v>
      </c>
      <c r="T66" s="60">
        <f t="shared" si="8"/>
        <v>115.34000000000002</v>
      </c>
      <c r="U66" s="60">
        <f t="shared" si="8"/>
        <v>115.34000000000002</v>
      </c>
      <c r="V66" s="60">
        <f t="shared" si="8"/>
        <v>79.840000000000018</v>
      </c>
      <c r="W66" s="60">
        <f t="shared" si="8"/>
        <v>79.840000000000018</v>
      </c>
      <c r="X66" s="60">
        <f t="shared" si="8"/>
        <v>200.84</v>
      </c>
      <c r="Y66" s="60">
        <v>305.53999999999996</v>
      </c>
      <c r="Z66" s="60">
        <f t="shared" si="8"/>
        <v>320.24</v>
      </c>
      <c r="AA66" s="60">
        <f t="shared" ref="AA66" si="9">SUM(AA53:AA65)</f>
        <v>318.64</v>
      </c>
      <c r="AB66" s="60">
        <f t="shared" si="8"/>
        <v>293.24</v>
      </c>
      <c r="AC66" s="60">
        <f t="shared" si="8"/>
        <v>249.84</v>
      </c>
      <c r="AD66" s="60">
        <f t="shared" si="8"/>
        <v>232.84</v>
      </c>
      <c r="AE66" s="60">
        <f t="shared" si="8"/>
        <v>176.84</v>
      </c>
      <c r="AF66" s="60">
        <f t="shared" si="8"/>
        <v>127.24000000000001</v>
      </c>
      <c r="AG66" s="61">
        <f t="shared" si="8"/>
        <v>489.91</v>
      </c>
      <c r="AH66" s="47">
        <f t="shared" si="2"/>
        <v>320.24</v>
      </c>
      <c r="AI66" s="48">
        <f t="shared" si="3"/>
        <v>79.840000000000018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20</v>
      </c>
      <c r="N67" s="45">
        <v>20</v>
      </c>
      <c r="O67" s="45">
        <v>10</v>
      </c>
      <c r="P67" s="45">
        <v>0</v>
      </c>
      <c r="Q67" s="45">
        <v>10</v>
      </c>
      <c r="R67" s="45">
        <v>10</v>
      </c>
      <c r="S67" s="45">
        <v>10</v>
      </c>
      <c r="T67" s="45">
        <v>10</v>
      </c>
      <c r="U67" s="45">
        <v>10</v>
      </c>
      <c r="V67" s="45">
        <v>50</v>
      </c>
      <c r="W67" s="45">
        <v>34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50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14.5</v>
      </c>
      <c r="N68" s="65">
        <v>11.2</v>
      </c>
      <c r="O68" s="65">
        <v>5</v>
      </c>
      <c r="P68" s="65">
        <v>0</v>
      </c>
      <c r="Q68" s="45">
        <v>2</v>
      </c>
      <c r="R68" s="45">
        <v>5.8</v>
      </c>
      <c r="S68" s="65">
        <v>4.4000000000000004</v>
      </c>
      <c r="T68" s="65">
        <v>4.4000000000000004</v>
      </c>
      <c r="U68" s="65">
        <v>4.4000000000000004</v>
      </c>
      <c r="V68" s="65">
        <v>4.4000000000000004</v>
      </c>
      <c r="W68" s="65">
        <v>4.4000000000000004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14.5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5.3</v>
      </c>
      <c r="N69" s="67">
        <v>4.0999999999999996</v>
      </c>
      <c r="O69" s="67">
        <v>3</v>
      </c>
      <c r="P69" s="67">
        <v>0</v>
      </c>
      <c r="Q69" s="45">
        <v>1</v>
      </c>
      <c r="R69" s="45">
        <v>2.1</v>
      </c>
      <c r="S69" s="67">
        <v>1.6</v>
      </c>
      <c r="T69" s="67">
        <v>1.6</v>
      </c>
      <c r="U69" s="67">
        <v>1.6</v>
      </c>
      <c r="V69" s="67">
        <v>1.6</v>
      </c>
      <c r="W69" s="67">
        <v>1.6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5.3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0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1">M67+M68+M69</f>
        <v>39.799999999999997</v>
      </c>
      <c r="N70" s="60">
        <f t="shared" si="11"/>
        <v>35.299999999999997</v>
      </c>
      <c r="O70" s="60">
        <f t="shared" si="11"/>
        <v>18</v>
      </c>
      <c r="P70" s="60">
        <f t="shared" si="11"/>
        <v>0</v>
      </c>
      <c r="Q70" s="60">
        <f t="shared" si="11"/>
        <v>13</v>
      </c>
      <c r="R70" s="60">
        <f t="shared" si="11"/>
        <v>17.900000000000002</v>
      </c>
      <c r="S70" s="60">
        <f t="shared" si="11"/>
        <v>16</v>
      </c>
      <c r="T70" s="60">
        <f t="shared" si="11"/>
        <v>16</v>
      </c>
      <c r="U70" s="60">
        <f t="shared" si="11"/>
        <v>16</v>
      </c>
      <c r="V70" s="60">
        <f t="shared" si="11"/>
        <v>56</v>
      </c>
      <c r="W70" s="60">
        <f t="shared" si="11"/>
        <v>40</v>
      </c>
      <c r="X70" s="60">
        <f t="shared" si="11"/>
        <v>0</v>
      </c>
      <c r="Y70" s="60">
        <v>0</v>
      </c>
      <c r="Z70" s="60">
        <f t="shared" si="11"/>
        <v>0</v>
      </c>
      <c r="AA70" s="60">
        <f t="shared" ref="AA70" si="12">AA67+AA68+AA69</f>
        <v>0</v>
      </c>
      <c r="AB70" s="60">
        <f t="shared" si="11"/>
        <v>0</v>
      </c>
      <c r="AC70" s="60">
        <f t="shared" si="11"/>
        <v>0</v>
      </c>
      <c r="AD70" s="60">
        <f t="shared" si="11"/>
        <v>0</v>
      </c>
      <c r="AE70" s="60">
        <f t="shared" si="11"/>
        <v>0</v>
      </c>
      <c r="AF70" s="60">
        <f t="shared" si="11"/>
        <v>0</v>
      </c>
      <c r="AG70" s="61">
        <f>SUM(AG67:AG69)</f>
        <v>106</v>
      </c>
      <c r="AH70" s="47">
        <f t="shared" si="2"/>
        <v>56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65</v>
      </c>
      <c r="C71" s="45">
        <v>50</v>
      </c>
      <c r="D71" s="45">
        <v>55</v>
      </c>
      <c r="E71" s="45">
        <v>55</v>
      </c>
      <c r="F71" s="45">
        <v>52</v>
      </c>
      <c r="G71" s="45">
        <v>51</v>
      </c>
      <c r="H71" s="45">
        <v>50</v>
      </c>
      <c r="I71" s="45">
        <v>54</v>
      </c>
      <c r="J71" s="45">
        <v>56</v>
      </c>
      <c r="K71" s="45">
        <v>55</v>
      </c>
      <c r="L71" s="45">
        <v>55</v>
      </c>
      <c r="M71" s="45">
        <v>60</v>
      </c>
      <c r="N71" s="45">
        <v>61</v>
      </c>
      <c r="O71" s="45">
        <v>70</v>
      </c>
      <c r="P71" s="45">
        <v>68.900000000000006</v>
      </c>
      <c r="Q71" s="45">
        <v>69.900000000000006</v>
      </c>
      <c r="R71" s="45">
        <v>71.400000000000006</v>
      </c>
      <c r="S71" s="45">
        <v>70.7</v>
      </c>
      <c r="T71" s="45">
        <v>55.1</v>
      </c>
      <c r="U71" s="45">
        <v>70</v>
      </c>
      <c r="V71" s="45">
        <v>72</v>
      </c>
      <c r="W71" s="45">
        <v>63.6</v>
      </c>
      <c r="X71" s="45">
        <v>64.099999999999994</v>
      </c>
      <c r="Y71" s="45">
        <v>62</v>
      </c>
      <c r="Z71" s="45">
        <v>65.400000000000006</v>
      </c>
      <c r="AA71" s="45">
        <v>65.400000000000006</v>
      </c>
      <c r="AB71" s="45">
        <v>51.7</v>
      </c>
      <c r="AC71" s="45">
        <v>55.3</v>
      </c>
      <c r="AD71" s="45">
        <v>55.3</v>
      </c>
      <c r="AE71" s="45">
        <v>65</v>
      </c>
      <c r="AF71" s="45">
        <v>55</v>
      </c>
      <c r="AG71" s="51"/>
      <c r="AH71" s="47">
        <f t="shared" si="2"/>
        <v>72</v>
      </c>
      <c r="AI71" s="48">
        <f t="shared" si="3"/>
        <v>50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332</v>
      </c>
      <c r="C73" s="65">
        <v>303</v>
      </c>
      <c r="D73" s="65">
        <v>265</v>
      </c>
      <c r="E73" s="65">
        <v>270</v>
      </c>
      <c r="F73" s="65">
        <v>270</v>
      </c>
      <c r="G73" s="65">
        <v>300</v>
      </c>
      <c r="H73" s="65">
        <v>324</v>
      </c>
      <c r="I73" s="65">
        <v>324</v>
      </c>
      <c r="J73" s="65">
        <v>316</v>
      </c>
      <c r="K73" s="65">
        <v>226</v>
      </c>
      <c r="L73" s="65">
        <v>194</v>
      </c>
      <c r="M73" s="65">
        <v>282</v>
      </c>
      <c r="N73" s="65">
        <v>308</v>
      </c>
      <c r="O73" s="65">
        <v>315</v>
      </c>
      <c r="P73" s="65">
        <v>308</v>
      </c>
      <c r="Q73" s="65">
        <v>296</v>
      </c>
      <c r="R73" s="65">
        <v>287</v>
      </c>
      <c r="S73" s="65">
        <v>353</v>
      </c>
      <c r="T73" s="65">
        <v>340</v>
      </c>
      <c r="U73" s="65">
        <v>340</v>
      </c>
      <c r="V73" s="65">
        <v>250</v>
      </c>
      <c r="W73" s="65">
        <v>285</v>
      </c>
      <c r="X73" s="65">
        <v>310</v>
      </c>
      <c r="Y73" s="65">
        <v>332</v>
      </c>
      <c r="Z73" s="65">
        <v>315</v>
      </c>
      <c r="AA73" s="65">
        <v>310</v>
      </c>
      <c r="AB73" s="65">
        <v>309</v>
      </c>
      <c r="AC73" s="65">
        <v>324</v>
      </c>
      <c r="AD73" s="65">
        <v>324</v>
      </c>
      <c r="AE73" s="65">
        <v>340</v>
      </c>
      <c r="AF73" s="65">
        <v>300</v>
      </c>
      <c r="AG73" s="75"/>
      <c r="AH73" s="47">
        <f t="shared" si="2"/>
        <v>353</v>
      </c>
      <c r="AI73" s="48">
        <f t="shared" si="3"/>
        <v>194</v>
      </c>
      <c r="AK73" s="49"/>
    </row>
    <row r="74" spans="1:40" x14ac:dyDescent="0.25">
      <c r="A74" s="53" t="s">
        <v>78</v>
      </c>
      <c r="B74" s="65">
        <v>59</v>
      </c>
      <c r="C74" s="65">
        <v>59</v>
      </c>
      <c r="D74" s="65">
        <v>59</v>
      </c>
      <c r="E74" s="65">
        <v>59</v>
      </c>
      <c r="F74" s="65">
        <v>59</v>
      </c>
      <c r="G74" s="65">
        <v>56</v>
      </c>
      <c r="H74" s="65">
        <v>56</v>
      </c>
      <c r="I74" s="65">
        <v>56</v>
      </c>
      <c r="J74" s="65">
        <v>63</v>
      </c>
      <c r="K74" s="65">
        <v>63</v>
      </c>
      <c r="L74" s="65">
        <v>30.3</v>
      </c>
      <c r="M74" s="65">
        <v>30.3</v>
      </c>
      <c r="N74" s="76">
        <v>42.4</v>
      </c>
      <c r="O74" s="76">
        <v>50.2</v>
      </c>
      <c r="P74" s="76">
        <v>55.6</v>
      </c>
      <c r="Q74" s="76">
        <v>55.6</v>
      </c>
      <c r="R74" s="76">
        <v>55.6</v>
      </c>
      <c r="S74" s="76">
        <v>48.8</v>
      </c>
      <c r="T74" s="76">
        <v>65</v>
      </c>
      <c r="U74" s="76">
        <v>65</v>
      </c>
      <c r="V74" s="76">
        <v>71</v>
      </c>
      <c r="W74" s="76">
        <v>71</v>
      </c>
      <c r="X74" s="76">
        <v>48.8</v>
      </c>
      <c r="Y74" s="65">
        <v>48.8</v>
      </c>
      <c r="Z74" s="65">
        <v>74.5</v>
      </c>
      <c r="AA74" s="65">
        <v>74.5</v>
      </c>
      <c r="AB74" s="65">
        <v>71</v>
      </c>
      <c r="AC74" s="65">
        <v>65</v>
      </c>
      <c r="AD74" s="65">
        <v>65</v>
      </c>
      <c r="AE74" s="65">
        <v>57</v>
      </c>
      <c r="AF74" s="65">
        <v>57</v>
      </c>
      <c r="AG74" s="75"/>
      <c r="AH74" s="47">
        <f t="shared" si="2"/>
        <v>74.5</v>
      </c>
      <c r="AI74" s="48">
        <f t="shared" si="3"/>
        <v>30.3</v>
      </c>
      <c r="AK74" s="49"/>
    </row>
    <row r="75" spans="1:40" x14ac:dyDescent="0.25">
      <c r="A75" s="53" t="s">
        <v>79</v>
      </c>
      <c r="B75" s="45">
        <v>83</v>
      </c>
      <c r="C75" s="45">
        <v>83</v>
      </c>
      <c r="D75" s="45">
        <v>83</v>
      </c>
      <c r="E75" s="45">
        <v>83</v>
      </c>
      <c r="F75" s="45">
        <v>83</v>
      </c>
      <c r="G75" s="45">
        <v>83</v>
      </c>
      <c r="H75" s="45">
        <v>83</v>
      </c>
      <c r="I75" s="45">
        <v>83</v>
      </c>
      <c r="J75" s="45">
        <v>83</v>
      </c>
      <c r="K75" s="45">
        <v>83</v>
      </c>
      <c r="L75" s="45">
        <v>83</v>
      </c>
      <c r="M75" s="45">
        <v>83</v>
      </c>
      <c r="N75" s="45">
        <v>84</v>
      </c>
      <c r="O75" s="45">
        <v>84</v>
      </c>
      <c r="P75" s="45">
        <v>84</v>
      </c>
      <c r="Q75" s="45">
        <v>84</v>
      </c>
      <c r="R75" s="45">
        <v>84</v>
      </c>
      <c r="S75" s="45">
        <v>84</v>
      </c>
      <c r="T75" s="45">
        <v>84</v>
      </c>
      <c r="U75" s="45">
        <v>84</v>
      </c>
      <c r="V75" s="45">
        <v>84</v>
      </c>
      <c r="W75" s="45">
        <v>84</v>
      </c>
      <c r="X75" s="45">
        <v>84</v>
      </c>
      <c r="Y75" s="45">
        <v>84</v>
      </c>
      <c r="Z75" s="45">
        <v>65</v>
      </c>
      <c r="AA75" s="45">
        <v>65</v>
      </c>
      <c r="AB75" s="45">
        <v>65</v>
      </c>
      <c r="AC75" s="45">
        <v>85</v>
      </c>
      <c r="AD75" s="45">
        <v>85</v>
      </c>
      <c r="AE75" s="45">
        <v>85</v>
      </c>
      <c r="AF75" s="45">
        <v>85</v>
      </c>
      <c r="AG75" s="75"/>
      <c r="AH75" s="47">
        <f t="shared" ref="AH75:AH117" si="13">MAX(B75:AF75)</f>
        <v>85</v>
      </c>
      <c r="AI75" s="48">
        <f t="shared" ref="AI75:AI117" si="14">MIN(B75:AF75)</f>
        <v>65</v>
      </c>
      <c r="AK75" s="49"/>
    </row>
    <row r="76" spans="1:40" x14ac:dyDescent="0.25">
      <c r="A76" s="53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3"/>
        <v>5</v>
      </c>
      <c r="AI76" s="48">
        <f t="shared" si="14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3"/>
        <v>0</v>
      </c>
      <c r="AI77" s="48">
        <f t="shared" si="14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3"/>
        <v>0</v>
      </c>
      <c r="AI78" s="48">
        <f t="shared" si="14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3"/>
        <v>0</v>
      </c>
      <c r="AI79" s="48">
        <f t="shared" si="14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3"/>
        <v>0</v>
      </c>
      <c r="AI80" s="48">
        <f t="shared" si="14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3"/>
        <v>0</v>
      </c>
      <c r="AI81" s="48">
        <f t="shared" si="14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5">SUMIF(B71:B81,"&gt;0")</f>
        <v>539</v>
      </c>
      <c r="C82" s="60">
        <f t="shared" si="15"/>
        <v>495</v>
      </c>
      <c r="D82" s="60">
        <f t="shared" si="15"/>
        <v>462</v>
      </c>
      <c r="E82" s="60">
        <f t="shared" si="15"/>
        <v>467</v>
      </c>
      <c r="F82" s="60">
        <f t="shared" si="15"/>
        <v>464</v>
      </c>
      <c r="G82" s="60">
        <f t="shared" si="15"/>
        <v>490</v>
      </c>
      <c r="H82" s="60">
        <f t="shared" si="15"/>
        <v>513</v>
      </c>
      <c r="I82" s="60">
        <f t="shared" si="15"/>
        <v>517</v>
      </c>
      <c r="J82" s="60">
        <f t="shared" si="15"/>
        <v>518</v>
      </c>
      <c r="K82" s="60">
        <f t="shared" si="15"/>
        <v>427</v>
      </c>
      <c r="L82" s="60">
        <f t="shared" si="15"/>
        <v>367.3</v>
      </c>
      <c r="M82" s="60">
        <f t="shared" si="15"/>
        <v>460.3</v>
      </c>
      <c r="N82" s="60">
        <f t="shared" si="15"/>
        <v>500.4</v>
      </c>
      <c r="O82" s="60">
        <f t="shared" si="15"/>
        <v>524.20000000000005</v>
      </c>
      <c r="P82" s="60">
        <f t="shared" si="15"/>
        <v>521.5</v>
      </c>
      <c r="Q82" s="60">
        <f t="shared" si="15"/>
        <v>510.5</v>
      </c>
      <c r="R82" s="60">
        <f t="shared" si="15"/>
        <v>503</v>
      </c>
      <c r="S82" s="60">
        <f t="shared" si="15"/>
        <v>561.5</v>
      </c>
      <c r="T82" s="60">
        <f t="shared" si="15"/>
        <v>549.1</v>
      </c>
      <c r="U82" s="60">
        <f t="shared" si="15"/>
        <v>564</v>
      </c>
      <c r="V82" s="60">
        <f t="shared" si="15"/>
        <v>482</v>
      </c>
      <c r="W82" s="60">
        <f t="shared" si="15"/>
        <v>508.6</v>
      </c>
      <c r="X82" s="60">
        <f t="shared" si="15"/>
        <v>511.90000000000003</v>
      </c>
      <c r="Y82" s="60">
        <v>531.79999999999995</v>
      </c>
      <c r="Z82" s="60">
        <f t="shared" si="15"/>
        <v>524.9</v>
      </c>
      <c r="AA82" s="60">
        <f t="shared" ref="AA82" si="16">SUMIF(AA71:AA81,"&gt;0")</f>
        <v>519.9</v>
      </c>
      <c r="AB82" s="60">
        <f t="shared" si="15"/>
        <v>501.7</v>
      </c>
      <c r="AC82" s="60">
        <f t="shared" si="15"/>
        <v>534.29999999999995</v>
      </c>
      <c r="AD82" s="60">
        <f t="shared" si="15"/>
        <v>534.29999999999995</v>
      </c>
      <c r="AE82" s="60">
        <f t="shared" si="15"/>
        <v>552</v>
      </c>
      <c r="AF82" s="60">
        <f t="shared" si="15"/>
        <v>502</v>
      </c>
      <c r="AG82" s="88">
        <f>SUM(AG71:AG81)</f>
        <v>0</v>
      </c>
      <c r="AH82" s="47">
        <f t="shared" si="13"/>
        <v>564</v>
      </c>
      <c r="AI82" s="48">
        <f t="shared" si="14"/>
        <v>367.3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3"/>
        <v>0</v>
      </c>
      <c r="AI83" s="48">
        <f t="shared" si="14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3"/>
        <v>0</v>
      </c>
      <c r="AI84" s="48">
        <f t="shared" si="14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3"/>
        <v>0</v>
      </c>
      <c r="AI85" s="48">
        <f t="shared" si="14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>
        <v>0</v>
      </c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3"/>
        <v>0</v>
      </c>
      <c r="AI86" s="48">
        <f t="shared" si="14"/>
        <v>0</v>
      </c>
    </row>
    <row r="87" spans="1:40" ht="15.75" thickBot="1" x14ac:dyDescent="0.3">
      <c r="A87" s="74" t="s">
        <v>94</v>
      </c>
      <c r="B87" s="95">
        <f t="shared" ref="B87:AG87" si="17">B48+B52+B70+B66+B82+B86</f>
        <v>1062.94</v>
      </c>
      <c r="C87" s="95">
        <f t="shared" si="17"/>
        <v>1038.94</v>
      </c>
      <c r="D87" s="95">
        <f t="shared" si="17"/>
        <v>1023.84</v>
      </c>
      <c r="E87" s="95">
        <f t="shared" si="17"/>
        <v>1023.1400000000001</v>
      </c>
      <c r="F87" s="95">
        <f t="shared" si="17"/>
        <v>1021.44</v>
      </c>
      <c r="G87" s="95">
        <f t="shared" si="17"/>
        <v>1038.44</v>
      </c>
      <c r="H87" s="95">
        <f t="shared" si="17"/>
        <v>1098.74</v>
      </c>
      <c r="I87" s="95">
        <f t="shared" si="17"/>
        <v>1144.44</v>
      </c>
      <c r="J87" s="95">
        <f t="shared" si="17"/>
        <v>1233.44</v>
      </c>
      <c r="K87" s="95">
        <f t="shared" si="17"/>
        <v>1234.6400000000001</v>
      </c>
      <c r="L87" s="95">
        <f t="shared" si="17"/>
        <v>1201.94</v>
      </c>
      <c r="M87" s="95">
        <f t="shared" si="17"/>
        <v>1312.54</v>
      </c>
      <c r="N87" s="95">
        <f t="shared" si="17"/>
        <v>1178.54</v>
      </c>
      <c r="O87" s="95">
        <f t="shared" si="17"/>
        <v>1225.04</v>
      </c>
      <c r="P87" s="95">
        <f t="shared" si="17"/>
        <v>1172.6399999999999</v>
      </c>
      <c r="Q87" s="95">
        <f t="shared" si="17"/>
        <v>1170.54</v>
      </c>
      <c r="R87" s="95">
        <f t="shared" si="17"/>
        <v>1140.94</v>
      </c>
      <c r="S87" s="95">
        <f t="shared" si="17"/>
        <v>1120.74</v>
      </c>
      <c r="T87" s="95">
        <f t="shared" si="17"/>
        <v>1138.1400000000001</v>
      </c>
      <c r="U87" s="95">
        <f t="shared" si="17"/>
        <v>1178.04</v>
      </c>
      <c r="V87" s="95">
        <f t="shared" si="17"/>
        <v>1133.2400000000002</v>
      </c>
      <c r="W87" s="95">
        <f t="shared" si="17"/>
        <v>1153.8400000000001</v>
      </c>
      <c r="X87" s="95">
        <f t="shared" si="17"/>
        <v>1258.1400000000001</v>
      </c>
      <c r="Y87" s="95">
        <v>1365.6399999999999</v>
      </c>
      <c r="Z87" s="95">
        <f t="shared" si="17"/>
        <v>1412.2399999999998</v>
      </c>
      <c r="AA87" s="95">
        <f t="shared" ref="AA87" si="18">AA48+AA52+AA70+AA66+AA82+AA86</f>
        <v>1435.6399999999999</v>
      </c>
      <c r="AB87" s="95">
        <f t="shared" si="17"/>
        <v>1314.04</v>
      </c>
      <c r="AC87" s="95">
        <f t="shared" si="17"/>
        <v>1261.2399999999998</v>
      </c>
      <c r="AD87" s="95">
        <f t="shared" si="17"/>
        <v>1210.54</v>
      </c>
      <c r="AE87" s="95">
        <f t="shared" si="17"/>
        <v>1145.94</v>
      </c>
      <c r="AF87" s="95">
        <f t="shared" si="17"/>
        <v>1046.3399999999999</v>
      </c>
      <c r="AG87" s="61">
        <f t="shared" si="17"/>
        <v>2065.09</v>
      </c>
      <c r="AH87" s="47">
        <f>MAX(B87:AF87)</f>
        <v>1435.6399999999999</v>
      </c>
      <c r="AI87" s="48">
        <f>MIN(B87:AF87)</f>
        <v>1021.44</v>
      </c>
    </row>
    <row r="88" spans="1:40" ht="15.75" thickBot="1" x14ac:dyDescent="0.3">
      <c r="A88" s="96" t="s">
        <v>95</v>
      </c>
      <c r="B88" s="97">
        <v>50</v>
      </c>
      <c r="C88" s="97">
        <v>50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50</v>
      </c>
      <c r="L88" s="97">
        <v>50</v>
      </c>
      <c r="M88" s="97">
        <v>150</v>
      </c>
      <c r="N88" s="97">
        <v>150</v>
      </c>
      <c r="O88" s="97">
        <v>150</v>
      </c>
      <c r="P88" s="97">
        <v>150</v>
      </c>
      <c r="Q88" s="97">
        <v>100</v>
      </c>
      <c r="R88" s="97">
        <v>100</v>
      </c>
      <c r="S88" s="97">
        <v>80</v>
      </c>
      <c r="T88" s="97">
        <v>80</v>
      </c>
      <c r="U88" s="97">
        <v>80</v>
      </c>
      <c r="V88" s="97">
        <v>80</v>
      </c>
      <c r="W88" s="97">
        <v>100</v>
      </c>
      <c r="X88" s="97">
        <v>120</v>
      </c>
      <c r="Y88" s="97">
        <v>81</v>
      </c>
      <c r="Z88" s="97">
        <v>81</v>
      </c>
      <c r="AA88" s="97">
        <v>81</v>
      </c>
      <c r="AB88" s="97">
        <v>70</v>
      </c>
      <c r="AC88" s="97">
        <v>70</v>
      </c>
      <c r="AD88" s="97">
        <v>70</v>
      </c>
      <c r="AE88" s="97">
        <v>50</v>
      </c>
      <c r="AF88" s="97">
        <v>50</v>
      </c>
      <c r="AG88" s="88"/>
      <c r="AH88" s="47">
        <f t="shared" si="13"/>
        <v>150</v>
      </c>
      <c r="AI88" s="48">
        <f t="shared" si="14"/>
        <v>50</v>
      </c>
    </row>
    <row r="89" spans="1:40" ht="15.75" thickBot="1" x14ac:dyDescent="0.3">
      <c r="A89" s="74" t="s">
        <v>96</v>
      </c>
      <c r="B89" s="95">
        <f t="shared" ref="B89:AF89" si="19">B87+B88</f>
        <v>1112.94</v>
      </c>
      <c r="C89" s="95">
        <f t="shared" si="19"/>
        <v>1088.94</v>
      </c>
      <c r="D89" s="95">
        <f t="shared" si="19"/>
        <v>1073.8400000000001</v>
      </c>
      <c r="E89" s="95">
        <f t="shared" si="19"/>
        <v>1073.1400000000001</v>
      </c>
      <c r="F89" s="95">
        <f t="shared" si="19"/>
        <v>1071.44</v>
      </c>
      <c r="G89" s="95">
        <f t="shared" si="19"/>
        <v>1088.44</v>
      </c>
      <c r="H89" s="95">
        <f t="shared" si="19"/>
        <v>1148.74</v>
      </c>
      <c r="I89" s="95">
        <f t="shared" si="19"/>
        <v>1194.44</v>
      </c>
      <c r="J89" s="95">
        <f t="shared" si="19"/>
        <v>1283.44</v>
      </c>
      <c r="K89" s="95">
        <f t="shared" si="19"/>
        <v>1284.6400000000001</v>
      </c>
      <c r="L89" s="95">
        <f t="shared" si="19"/>
        <v>1251.94</v>
      </c>
      <c r="M89" s="95">
        <f t="shared" si="19"/>
        <v>1462.54</v>
      </c>
      <c r="N89" s="95">
        <f t="shared" si="19"/>
        <v>1328.54</v>
      </c>
      <c r="O89" s="95">
        <f t="shared" si="19"/>
        <v>1375.04</v>
      </c>
      <c r="P89" s="95">
        <f t="shared" si="19"/>
        <v>1322.6399999999999</v>
      </c>
      <c r="Q89" s="95">
        <f t="shared" si="19"/>
        <v>1270.54</v>
      </c>
      <c r="R89" s="95">
        <f t="shared" si="19"/>
        <v>1240.94</v>
      </c>
      <c r="S89" s="95">
        <f t="shared" si="19"/>
        <v>1200.74</v>
      </c>
      <c r="T89" s="95">
        <f t="shared" si="19"/>
        <v>1218.1400000000001</v>
      </c>
      <c r="U89" s="95">
        <f t="shared" si="19"/>
        <v>1258.04</v>
      </c>
      <c r="V89" s="95">
        <f t="shared" si="19"/>
        <v>1213.2400000000002</v>
      </c>
      <c r="W89" s="95">
        <f t="shared" si="19"/>
        <v>1253.8400000000001</v>
      </c>
      <c r="X89" s="95">
        <f t="shared" si="19"/>
        <v>1378.14</v>
      </c>
      <c r="Y89" s="95">
        <v>1446.6399999999999</v>
      </c>
      <c r="Z89" s="95">
        <f t="shared" si="19"/>
        <v>1493.2399999999998</v>
      </c>
      <c r="AA89" s="95">
        <f t="shared" ref="AA89" si="20">AA87+AA88</f>
        <v>1516.6399999999999</v>
      </c>
      <c r="AB89" s="95">
        <f t="shared" si="19"/>
        <v>1384.04</v>
      </c>
      <c r="AC89" s="95">
        <f t="shared" si="19"/>
        <v>1331.2399999999998</v>
      </c>
      <c r="AD89" s="95">
        <f t="shared" si="19"/>
        <v>1280.54</v>
      </c>
      <c r="AE89" s="95">
        <f t="shared" si="19"/>
        <v>1195.94</v>
      </c>
      <c r="AF89" s="95">
        <f t="shared" si="19"/>
        <v>1096.3399999999999</v>
      </c>
      <c r="AG89" s="88">
        <f>AG86+AG82+AG70+AG66+AG48+AG88</f>
        <v>1526.99</v>
      </c>
      <c r="AH89" s="47">
        <f t="shared" si="13"/>
        <v>1516.6399999999999</v>
      </c>
      <c r="AI89" s="48">
        <f t="shared" si="14"/>
        <v>1071.44</v>
      </c>
    </row>
    <row r="90" spans="1:40" ht="15.75" thickBot="1" x14ac:dyDescent="0.3">
      <c r="A90" s="74" t="s">
        <v>97</v>
      </c>
      <c r="B90" s="95">
        <f t="shared" ref="B90:AF90" si="21">B89-B97</f>
        <v>1112.94</v>
      </c>
      <c r="C90" s="95">
        <f t="shared" si="21"/>
        <v>1088.94</v>
      </c>
      <c r="D90" s="95">
        <f t="shared" si="21"/>
        <v>1073.8400000000001</v>
      </c>
      <c r="E90" s="95">
        <f t="shared" si="21"/>
        <v>1073.1400000000001</v>
      </c>
      <c r="F90" s="95">
        <f t="shared" si="21"/>
        <v>1071.44</v>
      </c>
      <c r="G90" s="95">
        <f t="shared" si="21"/>
        <v>1088.44</v>
      </c>
      <c r="H90" s="95">
        <f t="shared" si="21"/>
        <v>1148.74</v>
      </c>
      <c r="I90" s="95">
        <f t="shared" si="21"/>
        <v>1194.44</v>
      </c>
      <c r="J90" s="95">
        <f t="shared" si="21"/>
        <v>1283.44</v>
      </c>
      <c r="K90" s="95">
        <f t="shared" si="21"/>
        <v>1284.6400000000001</v>
      </c>
      <c r="L90" s="95">
        <f t="shared" si="21"/>
        <v>1251.94</v>
      </c>
      <c r="M90" s="95">
        <f t="shared" si="21"/>
        <v>1462.54</v>
      </c>
      <c r="N90" s="95">
        <f t="shared" si="21"/>
        <v>1328.54</v>
      </c>
      <c r="O90" s="95">
        <f t="shared" si="21"/>
        <v>1375.04</v>
      </c>
      <c r="P90" s="95">
        <f t="shared" si="21"/>
        <v>1322.6399999999999</v>
      </c>
      <c r="Q90" s="95">
        <f t="shared" si="21"/>
        <v>1270.54</v>
      </c>
      <c r="R90" s="95">
        <f t="shared" si="21"/>
        <v>1240.94</v>
      </c>
      <c r="S90" s="95">
        <f t="shared" si="21"/>
        <v>1200.74</v>
      </c>
      <c r="T90" s="95">
        <f t="shared" si="21"/>
        <v>1218.1400000000001</v>
      </c>
      <c r="U90" s="95">
        <f t="shared" si="21"/>
        <v>1258.04</v>
      </c>
      <c r="V90" s="95">
        <f t="shared" si="21"/>
        <v>1213.2400000000002</v>
      </c>
      <c r="W90" s="95">
        <f t="shared" si="21"/>
        <v>1253.8400000000001</v>
      </c>
      <c r="X90" s="95">
        <f t="shared" si="21"/>
        <v>1378.14</v>
      </c>
      <c r="Y90" s="95">
        <v>1445.6399999999999</v>
      </c>
      <c r="Z90" s="95">
        <f t="shared" si="21"/>
        <v>1493.2399999999998</v>
      </c>
      <c r="AA90" s="95">
        <f t="shared" ref="AA90" si="22">AA89-AA97</f>
        <v>1516.6399999999999</v>
      </c>
      <c r="AB90" s="95">
        <f t="shared" si="21"/>
        <v>1384.04</v>
      </c>
      <c r="AC90" s="95">
        <f t="shared" si="21"/>
        <v>1331.2399999999998</v>
      </c>
      <c r="AD90" s="95">
        <f t="shared" si="21"/>
        <v>1280.54</v>
      </c>
      <c r="AE90" s="95">
        <f t="shared" si="21"/>
        <v>1195.94</v>
      </c>
      <c r="AF90" s="95">
        <f t="shared" si="21"/>
        <v>1096.3399999999999</v>
      </c>
      <c r="AG90" s="88"/>
      <c r="AH90" s="47">
        <f t="shared" si="13"/>
        <v>1516.6399999999999</v>
      </c>
      <c r="AI90" s="48">
        <f t="shared" si="14"/>
        <v>1071.44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3"/>
        <v>0</v>
      </c>
      <c r="AI91" s="48">
        <f t="shared" si="14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3"/>
        <v>0</v>
      </c>
      <c r="AI92" s="48">
        <f t="shared" si="14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3"/>
        <v>0</v>
      </c>
      <c r="AI93" s="48">
        <f t="shared" si="14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3"/>
        <v>0</v>
      </c>
      <c r="AI94" s="48">
        <f t="shared" si="14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3"/>
        <v>0</v>
      </c>
      <c r="AI95" s="48">
        <f t="shared" si="14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1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3"/>
        <v>1</v>
      </c>
      <c r="AI96" s="48">
        <f t="shared" si="14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>
        <v>1</v>
      </c>
      <c r="Z97" s="60"/>
      <c r="AA97" s="60"/>
      <c r="AB97" s="60"/>
      <c r="AC97" s="60"/>
      <c r="AD97" s="60"/>
      <c r="AE97" s="60"/>
      <c r="AF97" s="60"/>
      <c r="AG97" s="88"/>
      <c r="AH97" s="47">
        <f t="shared" si="13"/>
        <v>1</v>
      </c>
      <c r="AI97" s="48">
        <f t="shared" si="14"/>
        <v>1</v>
      </c>
      <c r="AK97" s="49"/>
    </row>
    <row r="98" spans="1:37" ht="15.75" thickBot="1" x14ac:dyDescent="0.3">
      <c r="A98" s="74" t="s">
        <v>102</v>
      </c>
      <c r="B98" s="60">
        <f t="shared" ref="B98:AF98" si="23">B82-B97</f>
        <v>539</v>
      </c>
      <c r="C98" s="60">
        <f t="shared" si="23"/>
        <v>495</v>
      </c>
      <c r="D98" s="60">
        <f t="shared" si="23"/>
        <v>462</v>
      </c>
      <c r="E98" s="60">
        <f t="shared" si="23"/>
        <v>467</v>
      </c>
      <c r="F98" s="60">
        <f t="shared" si="23"/>
        <v>464</v>
      </c>
      <c r="G98" s="60">
        <f t="shared" si="23"/>
        <v>490</v>
      </c>
      <c r="H98" s="60">
        <f t="shared" si="23"/>
        <v>513</v>
      </c>
      <c r="I98" s="60">
        <f t="shared" si="23"/>
        <v>517</v>
      </c>
      <c r="J98" s="60">
        <f t="shared" si="23"/>
        <v>518</v>
      </c>
      <c r="K98" s="60">
        <f t="shared" si="23"/>
        <v>427</v>
      </c>
      <c r="L98" s="60">
        <f t="shared" si="23"/>
        <v>367.3</v>
      </c>
      <c r="M98" s="60">
        <f t="shared" si="23"/>
        <v>460.3</v>
      </c>
      <c r="N98" s="60">
        <f t="shared" si="23"/>
        <v>500.4</v>
      </c>
      <c r="O98" s="60">
        <f t="shared" si="23"/>
        <v>524.20000000000005</v>
      </c>
      <c r="P98" s="60">
        <f t="shared" si="23"/>
        <v>521.5</v>
      </c>
      <c r="Q98" s="60">
        <f t="shared" si="23"/>
        <v>510.5</v>
      </c>
      <c r="R98" s="60">
        <f t="shared" si="23"/>
        <v>503</v>
      </c>
      <c r="S98" s="60">
        <f t="shared" si="23"/>
        <v>561.5</v>
      </c>
      <c r="T98" s="60">
        <f t="shared" si="23"/>
        <v>549.1</v>
      </c>
      <c r="U98" s="60">
        <f t="shared" si="23"/>
        <v>564</v>
      </c>
      <c r="V98" s="60">
        <f t="shared" si="23"/>
        <v>482</v>
      </c>
      <c r="W98" s="60">
        <f t="shared" si="23"/>
        <v>508.6</v>
      </c>
      <c r="X98" s="60">
        <f t="shared" si="23"/>
        <v>511.90000000000003</v>
      </c>
      <c r="Y98" s="60">
        <v>530.79999999999995</v>
      </c>
      <c r="Z98" s="60">
        <f t="shared" si="23"/>
        <v>524.9</v>
      </c>
      <c r="AA98" s="60">
        <f t="shared" si="23"/>
        <v>519.9</v>
      </c>
      <c r="AB98" s="60">
        <f t="shared" si="23"/>
        <v>501.7</v>
      </c>
      <c r="AC98" s="60">
        <f t="shared" si="23"/>
        <v>534.29999999999995</v>
      </c>
      <c r="AD98" s="60">
        <f t="shared" si="23"/>
        <v>534.29999999999995</v>
      </c>
      <c r="AE98" s="60">
        <f t="shared" si="23"/>
        <v>552</v>
      </c>
      <c r="AF98" s="60">
        <f t="shared" si="23"/>
        <v>502</v>
      </c>
      <c r="AG98" s="88"/>
      <c r="AH98" s="47">
        <f t="shared" si="13"/>
        <v>564</v>
      </c>
      <c r="AI98" s="48">
        <f t="shared" si="14"/>
        <v>367.3</v>
      </c>
    </row>
    <row r="99" spans="1:37" x14ac:dyDescent="0.25">
      <c r="A99" s="100" t="s">
        <v>103</v>
      </c>
      <c r="B99" s="101">
        <v>50.1</v>
      </c>
      <c r="C99" s="101">
        <v>50.1</v>
      </c>
      <c r="D99" s="101">
        <v>49.95</v>
      </c>
      <c r="E99" s="101">
        <v>50.012999999999998</v>
      </c>
      <c r="F99" s="101">
        <v>49.965000000000003</v>
      </c>
      <c r="G99" s="101">
        <v>49.945</v>
      </c>
      <c r="H99" s="101">
        <v>50.006</v>
      </c>
      <c r="I99" s="101">
        <v>49.99</v>
      </c>
      <c r="J99" s="101">
        <v>50.075000000000003</v>
      </c>
      <c r="K99" s="101">
        <v>50.045999999999999</v>
      </c>
      <c r="L99" s="101">
        <v>50.042000000000002</v>
      </c>
      <c r="M99" s="101">
        <v>50.015999999999998</v>
      </c>
      <c r="N99" s="101">
        <v>49.863999999999997</v>
      </c>
      <c r="O99" s="101">
        <v>50.06</v>
      </c>
      <c r="P99" s="101">
        <v>50.003</v>
      </c>
      <c r="Q99" s="101">
        <v>50.003</v>
      </c>
      <c r="R99" s="101">
        <v>50.078000000000003</v>
      </c>
      <c r="S99" s="101">
        <v>50.05</v>
      </c>
      <c r="T99" s="101">
        <v>49.97</v>
      </c>
      <c r="U99" s="101">
        <v>49.97</v>
      </c>
      <c r="V99" s="101">
        <v>49.97</v>
      </c>
      <c r="W99" s="101">
        <v>50.01</v>
      </c>
      <c r="X99" s="101">
        <v>49.97</v>
      </c>
      <c r="Y99" s="101">
        <v>49.99</v>
      </c>
      <c r="Z99" s="101">
        <v>49.97</v>
      </c>
      <c r="AA99" s="101">
        <v>50.02</v>
      </c>
      <c r="AB99" s="101">
        <v>50.036000000000001</v>
      </c>
      <c r="AC99" s="101">
        <v>50.034999999999997</v>
      </c>
      <c r="AD99" s="101">
        <v>50.087000000000003</v>
      </c>
      <c r="AE99" s="101">
        <v>50.128</v>
      </c>
      <c r="AF99" s="101">
        <v>49.99</v>
      </c>
      <c r="AG99" s="102"/>
      <c r="AH99" s="47">
        <f t="shared" si="13"/>
        <v>50.128</v>
      </c>
      <c r="AI99" s="48">
        <f t="shared" si="14"/>
        <v>49.863999999999997</v>
      </c>
    </row>
    <row r="100" spans="1:37" x14ac:dyDescent="0.25">
      <c r="A100" s="103" t="s">
        <v>104</v>
      </c>
      <c r="B100" s="65">
        <v>128</v>
      </c>
      <c r="C100" s="65">
        <v>128</v>
      </c>
      <c r="D100" s="65">
        <v>129.5</v>
      </c>
      <c r="E100" s="65">
        <v>129.4</v>
      </c>
      <c r="F100" s="65">
        <v>130.30000000000001</v>
      </c>
      <c r="G100" s="65">
        <v>129.69999999999999</v>
      </c>
      <c r="H100" s="65">
        <v>128.30000000000001</v>
      </c>
      <c r="I100" s="65">
        <v>129</v>
      </c>
      <c r="J100" s="65">
        <v>126.5</v>
      </c>
      <c r="K100" s="65">
        <v>127.6</v>
      </c>
      <c r="L100" s="65">
        <v>127.3</v>
      </c>
      <c r="M100" s="65">
        <v>127.8</v>
      </c>
      <c r="N100" s="65">
        <v>127.8</v>
      </c>
      <c r="O100" s="65">
        <v>127.8</v>
      </c>
      <c r="P100" s="65">
        <v>125.6</v>
      </c>
      <c r="Q100" s="65">
        <v>125.6</v>
      </c>
      <c r="R100" s="65">
        <v>125.9</v>
      </c>
      <c r="S100" s="65">
        <v>126.2</v>
      </c>
      <c r="T100" s="65">
        <v>125.7</v>
      </c>
      <c r="U100" s="65">
        <v>125.7</v>
      </c>
      <c r="V100" s="65">
        <v>125.7</v>
      </c>
      <c r="W100" s="65">
        <v>130.69999999999999</v>
      </c>
      <c r="X100" s="65">
        <v>127.9</v>
      </c>
      <c r="Y100" s="65">
        <v>126.6</v>
      </c>
      <c r="Z100" s="65">
        <v>128.5</v>
      </c>
      <c r="AA100" s="65">
        <v>126.4</v>
      </c>
      <c r="AB100" s="65">
        <v>128.1</v>
      </c>
      <c r="AC100" s="65">
        <v>129.30000000000001</v>
      </c>
      <c r="AD100" s="65">
        <v>129.80000000000001</v>
      </c>
      <c r="AE100" s="65">
        <v>130.9</v>
      </c>
      <c r="AF100" s="65">
        <v>131.4</v>
      </c>
      <c r="AG100" s="104"/>
      <c r="AH100" s="47">
        <f t="shared" si="13"/>
        <v>131.4</v>
      </c>
      <c r="AI100" s="48">
        <f t="shared" si="14"/>
        <v>125.6</v>
      </c>
    </row>
    <row r="101" spans="1:37" x14ac:dyDescent="0.25">
      <c r="A101" s="103" t="s">
        <v>105</v>
      </c>
      <c r="B101" s="65">
        <v>132</v>
      </c>
      <c r="C101" s="65">
        <v>132</v>
      </c>
      <c r="D101" s="65">
        <v>132.80000000000001</v>
      </c>
      <c r="E101" s="65">
        <v>132.69999999999999</v>
      </c>
      <c r="F101" s="65">
        <v>133.4</v>
      </c>
      <c r="G101" s="65">
        <v>132.80000000000001</v>
      </c>
      <c r="H101" s="65">
        <v>131.6</v>
      </c>
      <c r="I101" s="65">
        <v>132</v>
      </c>
      <c r="J101" s="65">
        <v>130</v>
      </c>
      <c r="K101" s="65">
        <v>130</v>
      </c>
      <c r="L101" s="65">
        <v>129.1</v>
      </c>
      <c r="M101" s="65">
        <v>129.80000000000001</v>
      </c>
      <c r="N101" s="65">
        <v>129.80000000000001</v>
      </c>
      <c r="O101" s="65">
        <v>129.80000000000001</v>
      </c>
      <c r="P101" s="65">
        <v>128.80000000000001</v>
      </c>
      <c r="Q101" s="65">
        <v>128.80000000000001</v>
      </c>
      <c r="R101" s="65">
        <v>128.69999999999999</v>
      </c>
      <c r="S101" s="65">
        <v>129.4</v>
      </c>
      <c r="T101" s="65">
        <v>128.6</v>
      </c>
      <c r="U101" s="65">
        <v>128.6</v>
      </c>
      <c r="V101" s="65">
        <v>128.6</v>
      </c>
      <c r="W101" s="65">
        <v>132.9</v>
      </c>
      <c r="X101" s="65">
        <v>130.19999999999999</v>
      </c>
      <c r="Y101" s="65">
        <v>129.1</v>
      </c>
      <c r="Z101" s="65">
        <v>130.80000000000001</v>
      </c>
      <c r="AA101" s="65">
        <v>128.69999999999999</v>
      </c>
      <c r="AB101" s="65">
        <v>130.6</v>
      </c>
      <c r="AC101" s="65">
        <v>66.099999999999994</v>
      </c>
      <c r="AD101" s="65">
        <v>132.6</v>
      </c>
      <c r="AE101" s="65">
        <v>134</v>
      </c>
      <c r="AF101" s="65">
        <v>134.69999999999999</v>
      </c>
      <c r="AG101" s="104"/>
      <c r="AH101" s="47">
        <f t="shared" si="13"/>
        <v>134.69999999999999</v>
      </c>
      <c r="AI101" s="48">
        <f t="shared" si="14"/>
        <v>66.099999999999994</v>
      </c>
    </row>
    <row r="102" spans="1:37" x14ac:dyDescent="0.25">
      <c r="A102" s="103" t="s">
        <v>106</v>
      </c>
      <c r="B102" s="65">
        <v>129</v>
      </c>
      <c r="C102" s="65">
        <v>129</v>
      </c>
      <c r="D102" s="65">
        <v>129</v>
      </c>
      <c r="E102" s="65">
        <v>129.4</v>
      </c>
      <c r="F102" s="65">
        <v>130</v>
      </c>
      <c r="G102" s="65">
        <v>130</v>
      </c>
      <c r="H102" s="65">
        <v>130</v>
      </c>
      <c r="I102" s="65">
        <v>130</v>
      </c>
      <c r="J102" s="65">
        <v>129</v>
      </c>
      <c r="K102" s="65">
        <v>130</v>
      </c>
      <c r="L102" s="65">
        <v>128</v>
      </c>
      <c r="M102" s="65">
        <v>129</v>
      </c>
      <c r="N102" s="65">
        <v>129</v>
      </c>
      <c r="O102" s="65">
        <v>129</v>
      </c>
      <c r="P102" s="65">
        <v>130.1</v>
      </c>
      <c r="Q102" s="65">
        <v>130.1</v>
      </c>
      <c r="R102" s="65">
        <v>131.72999999999999</v>
      </c>
      <c r="S102" s="65">
        <v>128.5</v>
      </c>
      <c r="T102" s="65">
        <v>126</v>
      </c>
      <c r="U102" s="65">
        <v>126</v>
      </c>
      <c r="V102" s="65">
        <v>126</v>
      </c>
      <c r="W102" s="65">
        <v>129.4</v>
      </c>
      <c r="X102" s="65">
        <v>125.4</v>
      </c>
      <c r="Y102" s="65">
        <v>123.6</v>
      </c>
      <c r="Z102" s="65">
        <v>130.6</v>
      </c>
      <c r="AA102" s="65">
        <v>130</v>
      </c>
      <c r="AB102" s="65">
        <v>128</v>
      </c>
      <c r="AC102" s="65">
        <v>131.1</v>
      </c>
      <c r="AD102" s="65">
        <v>131.30000000000001</v>
      </c>
      <c r="AE102" s="65">
        <v>130.6</v>
      </c>
      <c r="AF102" s="65">
        <v>130.80000000000001</v>
      </c>
      <c r="AG102" s="104"/>
      <c r="AH102" s="47">
        <f t="shared" si="13"/>
        <v>131.72999999999999</v>
      </c>
      <c r="AI102" s="48">
        <f t="shared" si="14"/>
        <v>123.6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3"/>
        <v>0</v>
      </c>
      <c r="AI103" s="48">
        <f t="shared" si="14"/>
        <v>0</v>
      </c>
    </row>
    <row r="104" spans="1:37" x14ac:dyDescent="0.25">
      <c r="A104" s="105" t="s">
        <v>108</v>
      </c>
      <c r="B104" s="106">
        <v>132.5</v>
      </c>
      <c r="C104" s="106">
        <v>132.5</v>
      </c>
      <c r="D104" s="106">
        <v>132</v>
      </c>
      <c r="E104" s="106">
        <v>131.6</v>
      </c>
      <c r="F104" s="106">
        <v>134</v>
      </c>
      <c r="G104" s="106">
        <v>134.1</v>
      </c>
      <c r="H104" s="106">
        <v>134</v>
      </c>
      <c r="I104" s="106">
        <v>136</v>
      </c>
      <c r="J104" s="106">
        <v>134</v>
      </c>
      <c r="K104" s="106">
        <v>136.1</v>
      </c>
      <c r="L104" s="106">
        <v>135</v>
      </c>
      <c r="M104" s="106">
        <v>134</v>
      </c>
      <c r="N104" s="106">
        <v>134</v>
      </c>
      <c r="O104" s="106">
        <v>134</v>
      </c>
      <c r="P104" s="106">
        <v>134.5</v>
      </c>
      <c r="Q104" s="106">
        <v>134.5</v>
      </c>
      <c r="R104" s="106">
        <v>133.80000000000001</v>
      </c>
      <c r="S104" s="106">
        <v>134.6</v>
      </c>
      <c r="T104" s="106">
        <v>134.1</v>
      </c>
      <c r="U104" s="106">
        <v>134.1</v>
      </c>
      <c r="V104" s="106">
        <v>134.1</v>
      </c>
      <c r="W104" s="106">
        <v>137.9</v>
      </c>
      <c r="X104" s="106">
        <v>136.19999999999999</v>
      </c>
      <c r="Y104" s="106">
        <v>140</v>
      </c>
      <c r="Z104" s="106">
        <v>133</v>
      </c>
      <c r="AA104" s="106">
        <v>131.1</v>
      </c>
      <c r="AB104" s="106">
        <v>131.80000000000001</v>
      </c>
      <c r="AC104" s="106">
        <v>133.5</v>
      </c>
      <c r="AD104" s="106">
        <v>134.69999999999999</v>
      </c>
      <c r="AE104" s="106">
        <v>135.9</v>
      </c>
      <c r="AF104" s="106">
        <v>134.30000000000001</v>
      </c>
      <c r="AG104" s="107"/>
      <c r="AH104" s="47">
        <f t="shared" si="13"/>
        <v>140</v>
      </c>
      <c r="AI104" s="48">
        <f t="shared" si="14"/>
        <v>131.1</v>
      </c>
    </row>
    <row r="105" spans="1:37" x14ac:dyDescent="0.25">
      <c r="A105" s="103" t="s">
        <v>109</v>
      </c>
      <c r="B105" s="65">
        <v>131</v>
      </c>
      <c r="C105" s="65">
        <v>131</v>
      </c>
      <c r="D105" s="65">
        <v>135</v>
      </c>
      <c r="E105" s="65">
        <v>135.69999999999999</v>
      </c>
      <c r="F105" s="65">
        <v>133</v>
      </c>
      <c r="G105" s="65">
        <v>133.4</v>
      </c>
      <c r="H105" s="65">
        <v>136</v>
      </c>
      <c r="I105" s="65">
        <v>135</v>
      </c>
      <c r="J105" s="65">
        <v>129</v>
      </c>
      <c r="K105" s="65">
        <v>129.4</v>
      </c>
      <c r="L105" s="65">
        <v>127</v>
      </c>
      <c r="M105" s="65">
        <v>131</v>
      </c>
      <c r="N105" s="65">
        <v>131</v>
      </c>
      <c r="O105" s="65">
        <v>131</v>
      </c>
      <c r="P105" s="65">
        <v>131.1</v>
      </c>
      <c r="Q105" s="65">
        <v>131.1</v>
      </c>
      <c r="R105" s="65">
        <v>134.1</v>
      </c>
      <c r="S105" s="65">
        <v>130.19999999999999</v>
      </c>
      <c r="T105" s="65">
        <v>133.19999999999999</v>
      </c>
      <c r="U105" s="65">
        <v>133.19999999999999</v>
      </c>
      <c r="V105" s="65">
        <v>133.19999999999999</v>
      </c>
      <c r="W105" s="65">
        <v>133.1</v>
      </c>
      <c r="X105" s="65">
        <v>134.69999999999999</v>
      </c>
      <c r="Y105" s="65">
        <v>128.6</v>
      </c>
      <c r="Z105" s="65">
        <v>134.1</v>
      </c>
      <c r="AA105" s="65">
        <v>132.6</v>
      </c>
      <c r="AB105" s="65">
        <v>131.69999999999999</v>
      </c>
      <c r="AC105" s="65">
        <v>136.6</v>
      </c>
      <c r="AD105" s="65">
        <v>133.1</v>
      </c>
      <c r="AE105" s="65">
        <v>134.30000000000001</v>
      </c>
      <c r="AF105" s="65">
        <v>134.30000000000001</v>
      </c>
      <c r="AG105" s="104"/>
      <c r="AH105" s="47">
        <f t="shared" si="13"/>
        <v>136.6</v>
      </c>
      <c r="AI105" s="48">
        <f t="shared" si="14"/>
        <v>127</v>
      </c>
    </row>
    <row r="106" spans="1:37" ht="15.75" thickBot="1" x14ac:dyDescent="0.3">
      <c r="A106" s="103" t="s">
        <v>110</v>
      </c>
      <c r="B106" s="92">
        <v>65.8</v>
      </c>
      <c r="C106" s="92">
        <v>65.8</v>
      </c>
      <c r="D106" s="92">
        <v>66.3</v>
      </c>
      <c r="E106" s="92">
        <v>66.3</v>
      </c>
      <c r="F106" s="92">
        <v>67</v>
      </c>
      <c r="G106" s="92">
        <v>66.400000000000006</v>
      </c>
      <c r="H106" s="92">
        <v>66.099999999999994</v>
      </c>
      <c r="I106" s="92">
        <v>66.2</v>
      </c>
      <c r="J106" s="92">
        <v>65</v>
      </c>
      <c r="K106" s="92">
        <v>65.400000000000006</v>
      </c>
      <c r="L106" s="92">
        <v>65</v>
      </c>
      <c r="M106" s="92">
        <v>65</v>
      </c>
      <c r="N106" s="92">
        <v>65</v>
      </c>
      <c r="O106" s="92">
        <v>65</v>
      </c>
      <c r="P106" s="92">
        <v>64.2</v>
      </c>
      <c r="Q106" s="92">
        <v>64.2</v>
      </c>
      <c r="R106" s="92">
        <v>64.599999999999994</v>
      </c>
      <c r="S106" s="92">
        <v>65.099999999999994</v>
      </c>
      <c r="T106" s="92">
        <v>64.599999999999994</v>
      </c>
      <c r="U106" s="92">
        <v>64.599999999999994</v>
      </c>
      <c r="V106" s="92">
        <v>64.599999999999994</v>
      </c>
      <c r="W106" s="92">
        <v>66.599999999999994</v>
      </c>
      <c r="X106" s="92">
        <v>65.2</v>
      </c>
      <c r="Y106" s="92">
        <v>64.2</v>
      </c>
      <c r="Z106" s="92">
        <v>65.3</v>
      </c>
      <c r="AA106" s="92">
        <v>63.8</v>
      </c>
      <c r="AB106" s="92">
        <v>65.400000000000006</v>
      </c>
      <c r="AC106" s="92">
        <v>66.099999999999994</v>
      </c>
      <c r="AD106" s="92">
        <v>66.5</v>
      </c>
      <c r="AE106" s="92">
        <v>67.2</v>
      </c>
      <c r="AF106" s="92">
        <v>67.2</v>
      </c>
      <c r="AG106" s="108"/>
      <c r="AH106" s="47">
        <f t="shared" si="13"/>
        <v>67.2</v>
      </c>
      <c r="AI106" s="48">
        <f t="shared" si="14"/>
        <v>63.8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 t="s">
        <v>252</v>
      </c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3"/>
        <v>0</v>
      </c>
      <c r="AI107" s="48">
        <f t="shared" si="14"/>
        <v>0</v>
      </c>
    </row>
    <row r="108" spans="1:37" ht="15.75" thickBot="1" x14ac:dyDescent="0.3">
      <c r="A108" s="110" t="s">
        <v>112</v>
      </c>
      <c r="B108" s="111">
        <f t="shared" ref="B108:AF108" si="24">SUM(B18,B24,B27:B28,B56,B58:B59,B61,B63,B109:B113,B135,B141,B147,B156,B158,B170,B177,B180:B181,B188,B190,B192,B196:B198,B200:B202,B207,B213:B214,B216:B218,B226,B231)</f>
        <v>125.3</v>
      </c>
      <c r="C108" s="111">
        <f t="shared" si="24"/>
        <v>126.24</v>
      </c>
      <c r="D108" s="111">
        <f t="shared" si="24"/>
        <v>113.24</v>
      </c>
      <c r="E108" s="111">
        <f t="shared" si="24"/>
        <v>112.44</v>
      </c>
      <c r="F108" s="111">
        <f t="shared" si="24"/>
        <v>117.24</v>
      </c>
      <c r="G108" s="111">
        <f t="shared" si="24"/>
        <v>132.74</v>
      </c>
      <c r="H108" s="111">
        <f t="shared" si="24"/>
        <v>165.24</v>
      </c>
      <c r="I108" s="111">
        <f t="shared" si="24"/>
        <v>187.74</v>
      </c>
      <c r="J108" s="111">
        <f t="shared" si="24"/>
        <v>228.74</v>
      </c>
      <c r="K108" s="111">
        <f t="shared" si="24"/>
        <v>261.14000000000004</v>
      </c>
      <c r="L108" s="111">
        <f t="shared" si="24"/>
        <v>288.83999999999997</v>
      </c>
      <c r="M108" s="111">
        <f t="shared" si="24"/>
        <v>301.24</v>
      </c>
      <c r="N108" s="111">
        <f t="shared" si="24"/>
        <v>301.24</v>
      </c>
      <c r="O108" s="111">
        <f t="shared" si="24"/>
        <v>301.24</v>
      </c>
      <c r="P108" s="111">
        <v>42</v>
      </c>
      <c r="Q108" s="111">
        <f t="shared" si="24"/>
        <v>255</v>
      </c>
      <c r="R108" s="111">
        <f t="shared" si="24"/>
        <v>218.10000000000002</v>
      </c>
      <c r="S108" s="111">
        <f t="shared" si="24"/>
        <v>191.8</v>
      </c>
      <c r="T108" s="111">
        <f t="shared" si="24"/>
        <v>189.39999999999998</v>
      </c>
      <c r="U108" s="111">
        <f t="shared" si="24"/>
        <v>187.89999999999998</v>
      </c>
      <c r="V108" s="111">
        <f t="shared" si="24"/>
        <v>190.2</v>
      </c>
      <c r="W108" s="111">
        <f t="shared" si="24"/>
        <v>164.39999999999998</v>
      </c>
      <c r="X108" s="111">
        <f t="shared" si="24"/>
        <v>205.60000000000002</v>
      </c>
      <c r="Y108" s="111">
        <v>235.39708333333334</v>
      </c>
      <c r="Z108" s="111">
        <f t="shared" si="24"/>
        <v>325.7</v>
      </c>
      <c r="AA108" s="111">
        <f t="shared" si="24"/>
        <v>191.6</v>
      </c>
      <c r="AB108" s="111">
        <f t="shared" si="24"/>
        <v>273.39999999999998</v>
      </c>
      <c r="AC108" s="111">
        <f t="shared" si="24"/>
        <v>245.3</v>
      </c>
      <c r="AD108" s="111">
        <f t="shared" si="24"/>
        <v>225.6</v>
      </c>
      <c r="AE108" s="111">
        <f t="shared" si="24"/>
        <v>182.10000000000002</v>
      </c>
      <c r="AF108" s="111">
        <f t="shared" si="24"/>
        <v>142.60000000000002</v>
      </c>
      <c r="AG108" s="112"/>
      <c r="AH108" s="47">
        <f t="shared" si="13"/>
        <v>325.7</v>
      </c>
      <c r="AI108" s="48">
        <f t="shared" si="14"/>
        <v>42</v>
      </c>
    </row>
    <row r="109" spans="1:37" x14ac:dyDescent="0.25">
      <c r="A109" s="100" t="s">
        <v>113</v>
      </c>
      <c r="B109" s="113">
        <v>-21</v>
      </c>
      <c r="C109" s="113">
        <v>-21</v>
      </c>
      <c r="D109" s="113">
        <v>-24</v>
      </c>
      <c r="E109" s="113">
        <v>-23.2</v>
      </c>
      <c r="F109" s="113">
        <v>-18</v>
      </c>
      <c r="G109" s="113">
        <v>-17.3</v>
      </c>
      <c r="H109" s="113">
        <v>-17</v>
      </c>
      <c r="I109" s="113">
        <v>-6.8</v>
      </c>
      <c r="J109" s="113">
        <v>0</v>
      </c>
      <c r="K109" s="113">
        <v>13.4</v>
      </c>
      <c r="L109" s="113">
        <v>26.5</v>
      </c>
      <c r="M109" s="113">
        <v>18</v>
      </c>
      <c r="N109" s="113">
        <v>18</v>
      </c>
      <c r="O109" s="113">
        <v>18</v>
      </c>
      <c r="P109" s="113">
        <v>1.3</v>
      </c>
      <c r="Q109" s="113">
        <v>1.3</v>
      </c>
      <c r="R109" s="113">
        <v>-10.199999999999999</v>
      </c>
      <c r="S109" s="113">
        <v>-9.1999999999999993</v>
      </c>
      <c r="T109" s="113">
        <v>-14.5</v>
      </c>
      <c r="U109" s="113">
        <v>-16</v>
      </c>
      <c r="V109" s="113">
        <v>-13.5</v>
      </c>
      <c r="W109" s="113">
        <v>-13.6</v>
      </c>
      <c r="X109" s="113">
        <v>-11.7</v>
      </c>
      <c r="Y109" s="113">
        <v>-31.5</v>
      </c>
      <c r="Z109" s="113">
        <v>32.5</v>
      </c>
      <c r="AA109" s="113">
        <v>-31.1</v>
      </c>
      <c r="AB109" s="113">
        <v>24.2</v>
      </c>
      <c r="AC109" s="113">
        <v>18.3</v>
      </c>
      <c r="AD109" s="113">
        <v>13.2</v>
      </c>
      <c r="AE109" s="113">
        <v>1.7</v>
      </c>
      <c r="AF109" s="113">
        <v>-9.6</v>
      </c>
      <c r="AG109" s="114">
        <v>75</v>
      </c>
      <c r="AH109" s="47">
        <f t="shared" si="13"/>
        <v>32.5</v>
      </c>
      <c r="AI109" s="48">
        <f t="shared" si="14"/>
        <v>-31.5</v>
      </c>
    </row>
    <row r="110" spans="1:37" x14ac:dyDescent="0.25">
      <c r="A110" s="103" t="s">
        <v>114</v>
      </c>
      <c r="B110" s="115">
        <v>-29</v>
      </c>
      <c r="C110" s="115">
        <v>-29</v>
      </c>
      <c r="D110" s="115">
        <v>-32</v>
      </c>
      <c r="E110" s="115">
        <v>-28.6</v>
      </c>
      <c r="F110" s="115">
        <v>-23</v>
      </c>
      <c r="G110" s="115">
        <v>-22.2</v>
      </c>
      <c r="H110" s="115">
        <v>-22</v>
      </c>
      <c r="I110" s="115">
        <v>-10</v>
      </c>
      <c r="J110" s="115">
        <v>-1.5</v>
      </c>
      <c r="K110" s="115">
        <v>10.9</v>
      </c>
      <c r="L110" s="115">
        <v>27.1</v>
      </c>
      <c r="M110" s="115">
        <v>18</v>
      </c>
      <c r="N110" s="115">
        <v>18</v>
      </c>
      <c r="O110" s="115">
        <v>18</v>
      </c>
      <c r="P110" s="115">
        <v>4.2</v>
      </c>
      <c r="Q110" s="115">
        <v>4.2</v>
      </c>
      <c r="R110" s="115">
        <v>-9.6</v>
      </c>
      <c r="S110" s="115">
        <v>-7.5</v>
      </c>
      <c r="T110" s="115">
        <v>-14.6</v>
      </c>
      <c r="U110" s="115">
        <v>-14.6</v>
      </c>
      <c r="V110" s="115">
        <v>-14.8</v>
      </c>
      <c r="W110" s="115">
        <v>-13.9</v>
      </c>
      <c r="X110" s="115">
        <v>-11.3</v>
      </c>
      <c r="Y110" s="115">
        <v>-35.9</v>
      </c>
      <c r="Z110" s="115">
        <v>38.9</v>
      </c>
      <c r="AA110" s="115">
        <v>-36.299999999999997</v>
      </c>
      <c r="AB110" s="115">
        <v>28.9</v>
      </c>
      <c r="AC110" s="115">
        <v>22.5</v>
      </c>
      <c r="AD110" s="115">
        <v>15.9</v>
      </c>
      <c r="AE110" s="115">
        <v>-2.1</v>
      </c>
      <c r="AF110" s="115">
        <v>-11.6</v>
      </c>
      <c r="AG110" s="114">
        <v>240</v>
      </c>
      <c r="AH110" s="47">
        <f t="shared" si="13"/>
        <v>38.9</v>
      </c>
      <c r="AI110" s="48">
        <f t="shared" si="14"/>
        <v>-36.299999999999997</v>
      </c>
    </row>
    <row r="111" spans="1:37" x14ac:dyDescent="0.25">
      <c r="A111" s="103" t="s">
        <v>115</v>
      </c>
      <c r="B111" s="115">
        <v>0</v>
      </c>
      <c r="C111" s="115">
        <v>0</v>
      </c>
      <c r="D111" s="115">
        <v>-4</v>
      </c>
      <c r="E111" s="115">
        <v>-6</v>
      </c>
      <c r="F111" s="115">
        <v>-8</v>
      </c>
      <c r="G111" s="115">
        <v>-1</v>
      </c>
      <c r="H111" s="115">
        <v>11</v>
      </c>
      <c r="I111" s="115">
        <v>12</v>
      </c>
      <c r="J111" s="115">
        <v>22</v>
      </c>
      <c r="K111" s="115">
        <v>27</v>
      </c>
      <c r="L111" s="115">
        <v>37</v>
      </c>
      <c r="M111" s="115">
        <v>50</v>
      </c>
      <c r="N111" s="115">
        <v>50</v>
      </c>
      <c r="O111" s="115">
        <v>50</v>
      </c>
      <c r="P111" s="115">
        <v>21.8</v>
      </c>
      <c r="Q111" s="115">
        <v>21.8</v>
      </c>
      <c r="R111" s="115">
        <v>15.2</v>
      </c>
      <c r="S111" s="115">
        <f>0.8+6.5</f>
        <v>7.3</v>
      </c>
      <c r="T111" s="115">
        <f>0.6+7.7</f>
        <v>8.3000000000000007</v>
      </c>
      <c r="U111" s="115">
        <f t="shared" ref="U111:V111" si="25">0.6+7.7</f>
        <v>8.3000000000000007</v>
      </c>
      <c r="V111" s="115">
        <f t="shared" si="25"/>
        <v>8.3000000000000007</v>
      </c>
      <c r="W111" s="115">
        <f>-4.9+6.7</f>
        <v>1.7999999999999998</v>
      </c>
      <c r="X111" s="115">
        <f>8.5+15.2</f>
        <v>23.7</v>
      </c>
      <c r="Y111" s="115">
        <v>34</v>
      </c>
      <c r="Z111" s="115">
        <v>19.899999999999999</v>
      </c>
      <c r="AA111" s="115">
        <f>16.7+17.5</f>
        <v>34.200000000000003</v>
      </c>
      <c r="AB111" s="115">
        <v>11.2</v>
      </c>
      <c r="AC111" s="115">
        <v>12</v>
      </c>
      <c r="AD111" s="115">
        <v>9</v>
      </c>
      <c r="AE111" s="115">
        <v>3</v>
      </c>
      <c r="AF111" s="115">
        <v>-8</v>
      </c>
      <c r="AG111" s="114">
        <v>240</v>
      </c>
      <c r="AH111" s="47">
        <f t="shared" si="13"/>
        <v>50</v>
      </c>
      <c r="AI111" s="48">
        <f t="shared" si="14"/>
        <v>-8</v>
      </c>
    </row>
    <row r="112" spans="1:37" x14ac:dyDescent="0.25">
      <c r="A112" s="103" t="s">
        <v>116</v>
      </c>
      <c r="B112" s="115">
        <v>-6</v>
      </c>
      <c r="C112" s="115">
        <v>-6</v>
      </c>
      <c r="D112" s="115">
        <v>-5</v>
      </c>
      <c r="E112" s="115">
        <v>-5</v>
      </c>
      <c r="F112" s="115">
        <v>-5</v>
      </c>
      <c r="G112" s="115">
        <v>-3</v>
      </c>
      <c r="H112" s="115">
        <v>-2</v>
      </c>
      <c r="I112" s="115">
        <v>0</v>
      </c>
      <c r="J112" s="115">
        <v>5</v>
      </c>
      <c r="K112" s="115">
        <v>8.1999999999999993</v>
      </c>
      <c r="L112" s="115">
        <v>7</v>
      </c>
      <c r="M112" s="115">
        <v>20</v>
      </c>
      <c r="N112" s="115">
        <v>20</v>
      </c>
      <c r="O112" s="115">
        <v>20</v>
      </c>
      <c r="P112" s="115">
        <v>26.7</v>
      </c>
      <c r="Q112" s="115">
        <v>26.7</v>
      </c>
      <c r="R112" s="115">
        <v>20.2</v>
      </c>
      <c r="S112" s="115">
        <v>7</v>
      </c>
      <c r="T112" s="115">
        <v>10.6</v>
      </c>
      <c r="U112" s="115">
        <v>10.6</v>
      </c>
      <c r="V112" s="115">
        <v>10.6</v>
      </c>
      <c r="W112" s="115">
        <v>17.3</v>
      </c>
      <c r="X112" s="115">
        <v>9.4</v>
      </c>
      <c r="Y112" s="115">
        <v>13.7</v>
      </c>
      <c r="Z112" s="115">
        <v>18.2</v>
      </c>
      <c r="AA112" s="115">
        <v>19.100000000000001</v>
      </c>
      <c r="AB112" s="115">
        <v>15.9</v>
      </c>
      <c r="AC112" s="115">
        <v>11.3</v>
      </c>
      <c r="AD112" s="115">
        <v>10.199999999999999</v>
      </c>
      <c r="AE112" s="115">
        <v>5.4</v>
      </c>
      <c r="AF112" s="115">
        <v>-2.2999999999999998</v>
      </c>
      <c r="AG112" s="114">
        <v>60</v>
      </c>
      <c r="AH112" s="47">
        <f t="shared" si="13"/>
        <v>26.7</v>
      </c>
      <c r="AI112" s="48">
        <f t="shared" si="14"/>
        <v>-6</v>
      </c>
    </row>
    <row r="113" spans="1:37" x14ac:dyDescent="0.25">
      <c r="A113" s="116" t="s">
        <v>117</v>
      </c>
      <c r="B113" s="117">
        <v>89</v>
      </c>
      <c r="C113" s="117">
        <v>89</v>
      </c>
      <c r="D113" s="117">
        <v>85</v>
      </c>
      <c r="E113" s="117">
        <v>82</v>
      </c>
      <c r="F113" s="117">
        <v>76</v>
      </c>
      <c r="G113" s="117">
        <v>81</v>
      </c>
      <c r="H113" s="117">
        <v>100</v>
      </c>
      <c r="I113" s="117">
        <v>97.3</v>
      </c>
      <c r="J113" s="117">
        <v>108</v>
      </c>
      <c r="K113" s="117">
        <v>106.4</v>
      </c>
      <c r="L113" s="117">
        <v>96</v>
      </c>
      <c r="M113" s="117">
        <v>100</v>
      </c>
      <c r="N113" s="117">
        <v>100</v>
      </c>
      <c r="O113" s="117">
        <v>100</v>
      </c>
      <c r="P113" s="117">
        <v>106.7</v>
      </c>
      <c r="Q113" s="117">
        <v>106.7</v>
      </c>
      <c r="R113" s="117">
        <v>108.2</v>
      </c>
      <c r="S113" s="117">
        <v>99.9</v>
      </c>
      <c r="T113" s="117">
        <v>105.3</v>
      </c>
      <c r="U113" s="117">
        <v>105.3</v>
      </c>
      <c r="V113" s="117">
        <v>105.3</v>
      </c>
      <c r="W113" s="117">
        <v>78.5</v>
      </c>
      <c r="X113" s="117">
        <v>101.2</v>
      </c>
      <c r="Y113" s="117">
        <v>109.4</v>
      </c>
      <c r="Z113" s="117">
        <v>119</v>
      </c>
      <c r="AA113" s="117">
        <v>108.5</v>
      </c>
      <c r="AB113" s="117">
        <v>96</v>
      </c>
      <c r="AC113" s="117">
        <v>84</v>
      </c>
      <c r="AD113" s="117">
        <v>80.099999999999994</v>
      </c>
      <c r="AE113" s="117">
        <v>76.900000000000006</v>
      </c>
      <c r="AF113" s="117">
        <v>76.900000000000006</v>
      </c>
      <c r="AG113" s="118">
        <v>120</v>
      </c>
      <c r="AH113" s="47">
        <f t="shared" si="13"/>
        <v>119</v>
      </c>
      <c r="AI113" s="48">
        <f t="shared" si="14"/>
        <v>76</v>
      </c>
    </row>
    <row r="114" spans="1:37" x14ac:dyDescent="0.25">
      <c r="A114" s="116" t="s">
        <v>118</v>
      </c>
      <c r="B114" s="117">
        <v>81</v>
      </c>
      <c r="C114" s="117">
        <v>81</v>
      </c>
      <c r="D114" s="117">
        <v>80</v>
      </c>
      <c r="E114" s="117">
        <v>73</v>
      </c>
      <c r="F114" s="117">
        <v>69</v>
      </c>
      <c r="G114" s="117">
        <v>76</v>
      </c>
      <c r="H114" s="117">
        <v>89</v>
      </c>
      <c r="I114" s="117">
        <v>85</v>
      </c>
      <c r="J114" s="117">
        <v>91</v>
      </c>
      <c r="K114" s="117">
        <v>80</v>
      </c>
      <c r="L114" s="117">
        <v>66</v>
      </c>
      <c r="M114" s="117">
        <v>79</v>
      </c>
      <c r="N114" s="117">
        <v>79</v>
      </c>
      <c r="O114" s="117">
        <v>79</v>
      </c>
      <c r="P114" s="117">
        <v>91.7</v>
      </c>
      <c r="Q114" s="117">
        <v>91.7</v>
      </c>
      <c r="R114" s="117">
        <v>95.2</v>
      </c>
      <c r="S114" s="117">
        <v>97</v>
      </c>
      <c r="T114" s="117">
        <v>90</v>
      </c>
      <c r="U114" s="117">
        <v>90</v>
      </c>
      <c r="V114" s="117">
        <v>90</v>
      </c>
      <c r="W114" s="117">
        <v>62</v>
      </c>
      <c r="X114" s="117">
        <v>80.3</v>
      </c>
      <c r="Y114" s="117">
        <v>74.8</v>
      </c>
      <c r="Z114" s="117">
        <v>78.400000000000006</v>
      </c>
      <c r="AA114" s="117">
        <v>75.7</v>
      </c>
      <c r="AB114" s="117">
        <v>69.599999999999994</v>
      </c>
      <c r="AC114" s="117">
        <v>65.599999999999994</v>
      </c>
      <c r="AD114" s="117">
        <v>64.8</v>
      </c>
      <c r="AE114" s="117">
        <v>64</v>
      </c>
      <c r="AF114" s="117">
        <v>64</v>
      </c>
      <c r="AG114" s="118"/>
      <c r="AH114" s="47">
        <f t="shared" si="13"/>
        <v>97</v>
      </c>
      <c r="AI114" s="48">
        <f t="shared" si="14"/>
        <v>62</v>
      </c>
    </row>
    <row r="115" spans="1:37" x14ac:dyDescent="0.25">
      <c r="A115" s="116" t="s">
        <v>119</v>
      </c>
      <c r="B115" s="117">
        <v>45</v>
      </c>
      <c r="C115" s="117">
        <v>45</v>
      </c>
      <c r="D115" s="117">
        <v>38</v>
      </c>
      <c r="E115" s="117">
        <v>43</v>
      </c>
      <c r="F115" s="117"/>
      <c r="G115" s="117"/>
      <c r="H115" s="117"/>
      <c r="I115" s="117"/>
      <c r="J115" s="117">
        <v>23</v>
      </c>
      <c r="K115" s="117"/>
      <c r="L115" s="117">
        <v>-5</v>
      </c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9"/>
      <c r="AH115" s="47">
        <f t="shared" si="13"/>
        <v>45</v>
      </c>
      <c r="AI115" s="48">
        <f t="shared" si="14"/>
        <v>-5</v>
      </c>
    </row>
    <row r="116" spans="1:37" x14ac:dyDescent="0.25">
      <c r="A116" s="120" t="s">
        <v>120</v>
      </c>
      <c r="B116" s="106">
        <v>7</v>
      </c>
      <c r="C116" s="106">
        <v>7</v>
      </c>
      <c r="D116" s="106">
        <v>10</v>
      </c>
      <c r="E116" s="106">
        <v>10</v>
      </c>
      <c r="F116" s="106">
        <v>13</v>
      </c>
      <c r="G116" s="106">
        <v>14</v>
      </c>
      <c r="H116" s="106">
        <v>5.6</v>
      </c>
      <c r="I116" s="106">
        <v>-6.3</v>
      </c>
      <c r="J116" s="106">
        <v>-28</v>
      </c>
      <c r="K116" s="106">
        <v>-36</v>
      </c>
      <c r="L116" s="106">
        <v>-47</v>
      </c>
      <c r="M116" s="106">
        <v>-53</v>
      </c>
      <c r="N116" s="106">
        <v>-53</v>
      </c>
      <c r="O116" s="106">
        <v>-53</v>
      </c>
      <c r="P116" s="106">
        <v>-24.2</v>
      </c>
      <c r="Q116" s="106">
        <v>-24.2</v>
      </c>
      <c r="R116" s="106">
        <v>-11.1</v>
      </c>
      <c r="S116" s="106">
        <v>-23.8</v>
      </c>
      <c r="T116" s="106">
        <v>-23.5</v>
      </c>
      <c r="U116" s="106">
        <v>-23.5</v>
      </c>
      <c r="V116" s="106">
        <v>-23.5</v>
      </c>
      <c r="W116" s="106">
        <v>-45.7</v>
      </c>
      <c r="X116" s="106">
        <v>-57.6</v>
      </c>
      <c r="Y116" s="106">
        <v>-76.7</v>
      </c>
      <c r="Z116" s="106">
        <v>-59.1</v>
      </c>
      <c r="AA116" s="106">
        <v>-52.5</v>
      </c>
      <c r="AB116" s="106">
        <v>-41.6</v>
      </c>
      <c r="AC116" s="106">
        <v>-28</v>
      </c>
      <c r="AD116" s="106">
        <v>18.8</v>
      </c>
      <c r="AE116" s="106">
        <v>-12.1</v>
      </c>
      <c r="AF116" s="106">
        <v>-12.1</v>
      </c>
      <c r="AG116" s="119"/>
      <c r="AH116" s="47">
        <f t="shared" si="13"/>
        <v>18.8</v>
      </c>
      <c r="AI116" s="48">
        <f t="shared" si="14"/>
        <v>-76.7</v>
      </c>
    </row>
    <row r="117" spans="1:37" ht="15.75" thickBot="1" x14ac:dyDescent="0.3">
      <c r="A117" s="120" t="s">
        <v>121</v>
      </c>
      <c r="B117" s="106">
        <v>69</v>
      </c>
      <c r="C117" s="106">
        <v>69</v>
      </c>
      <c r="D117" s="106">
        <v>66</v>
      </c>
      <c r="E117" s="106">
        <v>63</v>
      </c>
      <c r="F117" s="106">
        <v>62</v>
      </c>
      <c r="G117" s="106">
        <v>57</v>
      </c>
      <c r="H117" s="106">
        <v>56</v>
      </c>
      <c r="I117" s="106">
        <v>60</v>
      </c>
      <c r="J117" s="106">
        <v>69</v>
      </c>
      <c r="K117" s="106">
        <v>66</v>
      </c>
      <c r="L117" s="106">
        <v>68</v>
      </c>
      <c r="M117" s="106">
        <v>74</v>
      </c>
      <c r="N117" s="106">
        <v>74</v>
      </c>
      <c r="O117" s="106">
        <v>74</v>
      </c>
      <c r="P117" s="106">
        <v>42.8</v>
      </c>
      <c r="Q117" s="106">
        <v>42.8</v>
      </c>
      <c r="R117" s="106">
        <v>51.4</v>
      </c>
      <c r="S117" s="106">
        <v>72</v>
      </c>
      <c r="T117" s="106">
        <v>77.2</v>
      </c>
      <c r="U117" s="106">
        <v>77.2</v>
      </c>
      <c r="V117" s="106">
        <v>77.2</v>
      </c>
      <c r="W117" s="106">
        <v>72.7</v>
      </c>
      <c r="X117" s="106">
        <v>87.8</v>
      </c>
      <c r="Y117" s="106">
        <v>117</v>
      </c>
      <c r="Z117" s="106">
        <v>115.4</v>
      </c>
      <c r="AA117" s="106">
        <v>104.6</v>
      </c>
      <c r="AB117" s="106">
        <v>91.3</v>
      </c>
      <c r="AC117" s="106">
        <v>76.099999999999994</v>
      </c>
      <c r="AD117" s="106">
        <v>77.7</v>
      </c>
      <c r="AE117" s="106">
        <v>73.5</v>
      </c>
      <c r="AF117" s="106">
        <v>73.5</v>
      </c>
      <c r="AG117" s="119"/>
      <c r="AH117" s="47">
        <f t="shared" si="13"/>
        <v>117</v>
      </c>
      <c r="AI117" s="48">
        <f t="shared" si="14"/>
        <v>42.8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6">SUM(B119:B223)</f>
        <v>0</v>
      </c>
      <c r="C224" s="136">
        <f t="shared" si="26"/>
        <v>0</v>
      </c>
      <c r="D224" s="136">
        <f t="shared" si="26"/>
        <v>0</v>
      </c>
      <c r="E224" s="136">
        <f t="shared" si="26"/>
        <v>0</v>
      </c>
      <c r="F224" s="136">
        <f t="shared" si="26"/>
        <v>0</v>
      </c>
      <c r="G224" s="136">
        <f t="shared" si="26"/>
        <v>0</v>
      </c>
      <c r="H224" s="136">
        <f t="shared" si="26"/>
        <v>0</v>
      </c>
      <c r="I224" s="136">
        <f t="shared" si="26"/>
        <v>0</v>
      </c>
      <c r="J224" s="136">
        <f t="shared" si="26"/>
        <v>0</v>
      </c>
      <c r="K224" s="136">
        <f t="shared" si="26"/>
        <v>0</v>
      </c>
      <c r="L224" s="136">
        <f t="shared" si="26"/>
        <v>0</v>
      </c>
      <c r="M224" s="136">
        <f t="shared" si="26"/>
        <v>0</v>
      </c>
      <c r="N224" s="136">
        <f t="shared" si="26"/>
        <v>0</v>
      </c>
      <c r="O224" s="136">
        <f t="shared" si="26"/>
        <v>0</v>
      </c>
      <c r="P224" s="136">
        <f t="shared" si="26"/>
        <v>0</v>
      </c>
      <c r="Q224" s="136">
        <f t="shared" si="26"/>
        <v>0</v>
      </c>
      <c r="R224" s="136">
        <f t="shared" si="26"/>
        <v>0</v>
      </c>
      <c r="S224" s="136">
        <f t="shared" si="26"/>
        <v>0</v>
      </c>
      <c r="T224" s="136">
        <f t="shared" si="26"/>
        <v>0</v>
      </c>
      <c r="U224" s="136">
        <f t="shared" si="26"/>
        <v>0</v>
      </c>
      <c r="V224" s="136">
        <f t="shared" si="26"/>
        <v>0</v>
      </c>
      <c r="W224" s="136">
        <f t="shared" si="26"/>
        <v>0</v>
      </c>
      <c r="X224" s="136">
        <f t="shared" si="26"/>
        <v>0</v>
      </c>
      <c r="Y224" s="136">
        <f t="shared" si="26"/>
        <v>0</v>
      </c>
      <c r="Z224" s="136">
        <f t="shared" si="26"/>
        <v>0</v>
      </c>
      <c r="AA224" s="136">
        <f t="shared" si="26"/>
        <v>0</v>
      </c>
      <c r="AB224" s="136">
        <f t="shared" si="26"/>
        <v>0</v>
      </c>
      <c r="AC224" s="136">
        <f t="shared" si="26"/>
        <v>0</v>
      </c>
      <c r="AD224" s="136">
        <f t="shared" si="26"/>
        <v>0</v>
      </c>
      <c r="AE224" s="136">
        <f t="shared" si="26"/>
        <v>0</v>
      </c>
      <c r="AF224" s="137">
        <f t="shared" si="26"/>
        <v>0</v>
      </c>
      <c r="AG224" s="138">
        <f t="shared" si="26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7">AF226</f>
        <v>0</v>
      </c>
      <c r="C226" s="140">
        <v>0.3</v>
      </c>
      <c r="D226" s="140">
        <f t="shared" ref="D226:P231" si="28">C226</f>
        <v>0.3</v>
      </c>
      <c r="E226" s="140">
        <f t="shared" si="28"/>
        <v>0.3</v>
      </c>
      <c r="F226" s="140">
        <f t="shared" si="28"/>
        <v>0.3</v>
      </c>
      <c r="G226" s="140">
        <f t="shared" si="28"/>
        <v>0.3</v>
      </c>
      <c r="H226" s="140">
        <f t="shared" si="28"/>
        <v>0.3</v>
      </c>
      <c r="I226" s="140">
        <f t="shared" si="28"/>
        <v>0.3</v>
      </c>
      <c r="J226" s="140">
        <f t="shared" si="28"/>
        <v>0.3</v>
      </c>
      <c r="K226" s="140">
        <f t="shared" si="28"/>
        <v>0.3</v>
      </c>
      <c r="L226" s="140">
        <f t="shared" si="28"/>
        <v>0.3</v>
      </c>
      <c r="M226" s="140">
        <f t="shared" si="28"/>
        <v>0.3</v>
      </c>
      <c r="N226" s="140">
        <f t="shared" si="28"/>
        <v>0.3</v>
      </c>
      <c r="O226" s="140">
        <f t="shared" si="28"/>
        <v>0.3</v>
      </c>
      <c r="P226" s="140">
        <f t="shared" si="2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7"/>
        <v>0</v>
      </c>
      <c r="C227" s="128">
        <v>0.4</v>
      </c>
      <c r="D227" s="128">
        <f t="shared" si="28"/>
        <v>0.4</v>
      </c>
      <c r="E227" s="128">
        <f t="shared" si="28"/>
        <v>0.4</v>
      </c>
      <c r="F227" s="128">
        <f t="shared" si="28"/>
        <v>0.4</v>
      </c>
      <c r="G227" s="128">
        <f t="shared" si="28"/>
        <v>0.4</v>
      </c>
      <c r="H227" s="128">
        <f t="shared" si="28"/>
        <v>0.4</v>
      </c>
      <c r="I227" s="128">
        <f t="shared" si="28"/>
        <v>0.4</v>
      </c>
      <c r="J227" s="128">
        <f t="shared" si="28"/>
        <v>0.4</v>
      </c>
      <c r="K227" s="128">
        <f t="shared" si="28"/>
        <v>0.4</v>
      </c>
      <c r="L227" s="128">
        <f t="shared" si="28"/>
        <v>0.4</v>
      </c>
      <c r="M227" s="128">
        <f t="shared" si="28"/>
        <v>0.4</v>
      </c>
      <c r="N227" s="128">
        <f t="shared" si="28"/>
        <v>0.4</v>
      </c>
      <c r="O227" s="128">
        <f t="shared" si="28"/>
        <v>0.4</v>
      </c>
      <c r="P227" s="128">
        <f t="shared" si="2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7"/>
        <v>0</v>
      </c>
      <c r="C228" s="128">
        <v>1.5</v>
      </c>
      <c r="D228" s="128">
        <f t="shared" si="28"/>
        <v>1.5</v>
      </c>
      <c r="E228" s="128">
        <f t="shared" si="28"/>
        <v>1.5</v>
      </c>
      <c r="F228" s="128">
        <f t="shared" si="28"/>
        <v>1.5</v>
      </c>
      <c r="G228" s="128">
        <f t="shared" si="28"/>
        <v>1.5</v>
      </c>
      <c r="H228" s="128">
        <f t="shared" si="28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28"/>
        <v>1.5</v>
      </c>
      <c r="K228" s="128">
        <f t="shared" ca="1" si="28"/>
        <v>1.5</v>
      </c>
      <c r="L228" s="128">
        <f t="shared" ca="1" si="28"/>
        <v>1.5</v>
      </c>
      <c r="M228" s="128">
        <f t="shared" ca="1" si="28"/>
        <v>1.5</v>
      </c>
      <c r="N228" s="128">
        <f t="shared" ca="1" si="28"/>
        <v>1.5</v>
      </c>
      <c r="O228" s="128">
        <f t="shared" ca="1" si="28"/>
        <v>1.5</v>
      </c>
      <c r="P228" s="128">
        <f t="shared" ca="1" si="28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7"/>
        <v>0</v>
      </c>
      <c r="C229" s="128">
        <v>0.3</v>
      </c>
      <c r="D229" s="128">
        <f t="shared" si="28"/>
        <v>0.3</v>
      </c>
      <c r="E229" s="128">
        <f t="shared" si="28"/>
        <v>0.3</v>
      </c>
      <c r="F229" s="128">
        <f t="shared" si="28"/>
        <v>0.3</v>
      </c>
      <c r="G229" s="128">
        <f t="shared" si="28"/>
        <v>0.3</v>
      </c>
      <c r="H229" s="128">
        <f t="shared" si="28"/>
        <v>0.3</v>
      </c>
      <c r="I229" s="128">
        <f t="shared" si="28"/>
        <v>0.3</v>
      </c>
      <c r="J229" s="128">
        <f t="shared" si="28"/>
        <v>0.3</v>
      </c>
      <c r="K229" s="128">
        <f t="shared" si="28"/>
        <v>0.3</v>
      </c>
      <c r="L229" s="128">
        <f t="shared" si="28"/>
        <v>0.3</v>
      </c>
      <c r="M229" s="128">
        <f t="shared" si="28"/>
        <v>0.3</v>
      </c>
      <c r="N229" s="128">
        <f t="shared" si="28"/>
        <v>0.3</v>
      </c>
      <c r="O229" s="128">
        <f t="shared" si="28"/>
        <v>0.3</v>
      </c>
      <c r="P229" s="128">
        <f t="shared" si="2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7"/>
        <v>0</v>
      </c>
      <c r="C230" s="128">
        <v>0.4</v>
      </c>
      <c r="D230" s="128">
        <f t="shared" si="28"/>
        <v>0.4</v>
      </c>
      <c r="E230" s="128">
        <f t="shared" si="28"/>
        <v>0.4</v>
      </c>
      <c r="F230" s="128">
        <f t="shared" si="28"/>
        <v>0.4</v>
      </c>
      <c r="G230" s="128">
        <f t="shared" si="28"/>
        <v>0.4</v>
      </c>
      <c r="H230" s="128">
        <f t="shared" si="28"/>
        <v>0.4</v>
      </c>
      <c r="I230" s="128">
        <f t="shared" si="28"/>
        <v>0.4</v>
      </c>
      <c r="J230" s="128">
        <f t="shared" si="28"/>
        <v>0.4</v>
      </c>
      <c r="K230" s="128">
        <f t="shared" si="28"/>
        <v>0.4</v>
      </c>
      <c r="L230" s="128">
        <f t="shared" si="28"/>
        <v>0.4</v>
      </c>
      <c r="M230" s="128">
        <f t="shared" si="28"/>
        <v>0.4</v>
      </c>
      <c r="N230" s="128">
        <f t="shared" si="28"/>
        <v>0.4</v>
      </c>
      <c r="O230" s="128">
        <f t="shared" si="28"/>
        <v>0.4</v>
      </c>
      <c r="P230" s="128">
        <f t="shared" si="2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7"/>
        <v>0</v>
      </c>
      <c r="C231" s="132">
        <v>0.64</v>
      </c>
      <c r="D231" s="132">
        <f t="shared" si="28"/>
        <v>0.64</v>
      </c>
      <c r="E231" s="132">
        <f t="shared" si="28"/>
        <v>0.64</v>
      </c>
      <c r="F231" s="132">
        <f t="shared" si="28"/>
        <v>0.64</v>
      </c>
      <c r="G231" s="132">
        <f t="shared" si="28"/>
        <v>0.64</v>
      </c>
      <c r="H231" s="132">
        <f t="shared" si="28"/>
        <v>0.64</v>
      </c>
      <c r="I231" s="132">
        <f t="shared" si="28"/>
        <v>0.64</v>
      </c>
      <c r="J231" s="132">
        <f t="shared" si="28"/>
        <v>0.64</v>
      </c>
      <c r="K231" s="132">
        <f t="shared" si="28"/>
        <v>0.64</v>
      </c>
      <c r="L231" s="132">
        <f t="shared" si="28"/>
        <v>0.64</v>
      </c>
      <c r="M231" s="132">
        <f t="shared" si="28"/>
        <v>0.64</v>
      </c>
      <c r="N231" s="132">
        <f t="shared" si="28"/>
        <v>0.64</v>
      </c>
      <c r="O231" s="132">
        <f t="shared" si="28"/>
        <v>0.64</v>
      </c>
      <c r="P231" s="132">
        <f t="shared" si="2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9">SUM(B226:B231)</f>
        <v>0</v>
      </c>
      <c r="C232" s="136">
        <f t="shared" si="29"/>
        <v>3.54</v>
      </c>
      <c r="D232" s="136">
        <f t="shared" si="29"/>
        <v>3.54</v>
      </c>
      <c r="E232" s="136">
        <f t="shared" si="29"/>
        <v>3.54</v>
      </c>
      <c r="F232" s="136">
        <f t="shared" si="29"/>
        <v>3.54</v>
      </c>
      <c r="G232" s="136">
        <f t="shared" si="29"/>
        <v>3.54</v>
      </c>
      <c r="H232" s="136">
        <f t="shared" si="29"/>
        <v>3.54</v>
      </c>
      <c r="I232" s="136">
        <f t="shared" ca="1" si="29"/>
        <v>3.54</v>
      </c>
      <c r="J232" s="136">
        <f t="shared" ca="1" si="29"/>
        <v>3.54</v>
      </c>
      <c r="K232" s="136">
        <f t="shared" ca="1" si="29"/>
        <v>3.54</v>
      </c>
      <c r="L232" s="136">
        <f t="shared" ca="1" si="29"/>
        <v>3.54</v>
      </c>
      <c r="M232" s="136">
        <f t="shared" ca="1" si="29"/>
        <v>3.54</v>
      </c>
      <c r="N232" s="136">
        <f t="shared" ca="1" si="29"/>
        <v>3.54</v>
      </c>
      <c r="O232" s="136">
        <f t="shared" ca="1" si="29"/>
        <v>3.54</v>
      </c>
      <c r="P232" s="136">
        <f t="shared" ca="1" si="29"/>
        <v>3.54</v>
      </c>
      <c r="Q232" s="136">
        <f t="shared" si="29"/>
        <v>0</v>
      </c>
      <c r="R232" s="136">
        <f t="shared" si="29"/>
        <v>0</v>
      </c>
      <c r="S232" s="136">
        <f t="shared" si="29"/>
        <v>0</v>
      </c>
      <c r="T232" s="136">
        <f t="shared" si="29"/>
        <v>0</v>
      </c>
      <c r="U232" s="136">
        <f t="shared" si="29"/>
        <v>0</v>
      </c>
      <c r="V232" s="136">
        <f t="shared" si="29"/>
        <v>0</v>
      </c>
      <c r="W232" s="136">
        <f t="shared" si="29"/>
        <v>0</v>
      </c>
      <c r="X232" s="136">
        <f t="shared" si="29"/>
        <v>0</v>
      </c>
      <c r="Y232" s="136">
        <f t="shared" si="29"/>
        <v>0</v>
      </c>
      <c r="Z232" s="136">
        <f t="shared" si="29"/>
        <v>0</v>
      </c>
      <c r="AA232" s="136">
        <f t="shared" si="29"/>
        <v>0</v>
      </c>
      <c r="AB232" s="136">
        <f t="shared" si="29"/>
        <v>0</v>
      </c>
      <c r="AC232" s="136">
        <f t="shared" si="29"/>
        <v>0</v>
      </c>
      <c r="AD232" s="136">
        <f t="shared" si="29"/>
        <v>0</v>
      </c>
      <c r="AE232" s="136">
        <f t="shared" si="29"/>
        <v>0</v>
      </c>
      <c r="AF232" s="136">
        <f t="shared" si="29"/>
        <v>0</v>
      </c>
      <c r="AG232" s="145">
        <f t="shared" si="2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1462.54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20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2079/11/20)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2079/11/20)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0">B89</f>
        <v>1112.94</v>
      </c>
      <c r="U246" s="170">
        <f t="shared" si="30"/>
        <v>1088.94</v>
      </c>
      <c r="V246" s="170">
        <f t="shared" si="30"/>
        <v>1073.8400000000001</v>
      </c>
      <c r="W246" s="170">
        <f t="shared" si="30"/>
        <v>1073.1400000000001</v>
      </c>
      <c r="X246" s="170">
        <f t="shared" si="30"/>
        <v>1071.44</v>
      </c>
      <c r="Y246" s="170">
        <f t="shared" si="30"/>
        <v>1088.44</v>
      </c>
      <c r="Z246" s="170">
        <f t="shared" si="30"/>
        <v>1148.74</v>
      </c>
      <c r="AA246" s="170">
        <f t="shared" si="30"/>
        <v>1194.44</v>
      </c>
      <c r="AB246" s="170">
        <f t="shared" si="30"/>
        <v>1283.44</v>
      </c>
      <c r="AC246" s="170">
        <f t="shared" si="30"/>
        <v>1284.6400000000001</v>
      </c>
      <c r="AD246" s="170">
        <f t="shared" si="30"/>
        <v>1251.94</v>
      </c>
      <c r="AE246" s="170">
        <f t="shared" si="30"/>
        <v>1462.54</v>
      </c>
      <c r="AF246" s="170">
        <f t="shared" si="30"/>
        <v>1328.54</v>
      </c>
      <c r="AG246" s="170">
        <f t="shared" si="30"/>
        <v>1375.04</v>
      </c>
      <c r="AH246" s="170">
        <f t="shared" si="30"/>
        <v>1322.6399999999999</v>
      </c>
      <c r="AI246" s="170">
        <f t="shared" si="30"/>
        <v>1270.54</v>
      </c>
      <c r="AJ246" s="170">
        <f t="shared" si="30"/>
        <v>1240.94</v>
      </c>
      <c r="AK246" s="170">
        <f t="shared" si="30"/>
        <v>1200.74</v>
      </c>
      <c r="AL246" s="170">
        <f t="shared" si="30"/>
        <v>1218.1400000000001</v>
      </c>
      <c r="AM246" s="170">
        <f t="shared" si="30"/>
        <v>1258.04</v>
      </c>
      <c r="AN246" s="170">
        <f t="shared" si="30"/>
        <v>1213.2400000000002</v>
      </c>
      <c r="AO246" s="170">
        <f t="shared" si="30"/>
        <v>1253.8400000000001</v>
      </c>
      <c r="AP246" s="170">
        <f t="shared" si="30"/>
        <v>1378.14</v>
      </c>
      <c r="AQ246" s="170">
        <f t="shared" si="30"/>
        <v>1446.6399999999999</v>
      </c>
      <c r="AR246" s="170">
        <f t="shared" si="30"/>
        <v>1493.2399999999998</v>
      </c>
      <c r="AS246" s="170">
        <f t="shared" si="30"/>
        <v>1516.6399999999999</v>
      </c>
      <c r="AT246" s="170">
        <f t="shared" si="30"/>
        <v>1384.04</v>
      </c>
      <c r="AU246" s="170">
        <f t="shared" si="30"/>
        <v>1331.2399999999998</v>
      </c>
      <c r="AV246" s="170">
        <f t="shared" si="30"/>
        <v>1280.54</v>
      </c>
      <c r="AW246" s="170">
        <f t="shared" si="30"/>
        <v>1195.94</v>
      </c>
      <c r="AX246" s="170">
        <f t="shared" si="30"/>
        <v>1096.3399999999999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1">C231</f>
        <v>0.64</v>
      </c>
      <c r="C267" s="173">
        <f t="shared" si="31"/>
        <v>0.64</v>
      </c>
      <c r="D267" s="173">
        <f t="shared" si="31"/>
        <v>0.64</v>
      </c>
      <c r="E267" s="173">
        <f t="shared" si="31"/>
        <v>0.64</v>
      </c>
      <c r="F267" s="173">
        <f t="shared" si="31"/>
        <v>0.64</v>
      </c>
      <c r="G267" s="173">
        <f t="shared" si="31"/>
        <v>0.64</v>
      </c>
      <c r="H267" s="173">
        <f t="shared" si="31"/>
        <v>0.64</v>
      </c>
      <c r="I267" s="173">
        <f t="shared" si="31"/>
        <v>0.64</v>
      </c>
      <c r="J267" s="173">
        <f t="shared" si="31"/>
        <v>0.64</v>
      </c>
      <c r="K267" s="173">
        <f t="shared" si="31"/>
        <v>0.64</v>
      </c>
      <c r="L267" s="173">
        <f t="shared" si="31"/>
        <v>0.64</v>
      </c>
      <c r="M267" s="173">
        <f t="shared" si="31"/>
        <v>0.64</v>
      </c>
      <c r="N267" s="173">
        <f t="shared" si="31"/>
        <v>0.64</v>
      </c>
      <c r="O267" s="173">
        <f t="shared" si="31"/>
        <v>0.64</v>
      </c>
      <c r="P267" s="173">
        <f t="shared" si="31"/>
        <v>0</v>
      </c>
      <c r="Q267" s="173">
        <f t="shared" si="31"/>
        <v>0</v>
      </c>
      <c r="R267" s="173">
        <f t="shared" si="31"/>
        <v>0</v>
      </c>
      <c r="S267" s="173">
        <f t="shared" si="31"/>
        <v>0</v>
      </c>
      <c r="T267" s="173">
        <f t="shared" si="31"/>
        <v>0</v>
      </c>
      <c r="U267" s="173">
        <f t="shared" si="31"/>
        <v>0</v>
      </c>
      <c r="V267" s="173">
        <f t="shared" si="31"/>
        <v>0</v>
      </c>
      <c r="W267" s="173">
        <f t="shared" si="31"/>
        <v>0</v>
      </c>
      <c r="X267" s="173">
        <f t="shared" si="31"/>
        <v>0</v>
      </c>
      <c r="Y267" s="173">
        <f t="shared" si="31"/>
        <v>0</v>
      </c>
      <c r="Z267" s="173">
        <f t="shared" si="31"/>
        <v>0</v>
      </c>
      <c r="AA267" s="173">
        <f t="shared" si="31"/>
        <v>0</v>
      </c>
      <c r="AB267" s="173">
        <f t="shared" si="31"/>
        <v>0</v>
      </c>
      <c r="AC267" s="173">
        <f t="shared" si="31"/>
        <v>0</v>
      </c>
      <c r="AD267" s="173">
        <f t="shared" si="31"/>
        <v>0</v>
      </c>
      <c r="AE267" s="173">
        <f t="shared" si="3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2">IF(B235&lt;100,"",B235-520)</f>
        <v/>
      </c>
      <c r="C268" s="174" t="str">
        <f t="shared" si="32"/>
        <v/>
      </c>
      <c r="D268" s="174" t="str">
        <f t="shared" si="32"/>
        <v/>
      </c>
      <c r="E268" s="174" t="str">
        <f t="shared" si="32"/>
        <v/>
      </c>
      <c r="F268" s="174" t="str">
        <f t="shared" si="32"/>
        <v/>
      </c>
      <c r="G268" s="174" t="str">
        <f t="shared" si="32"/>
        <v/>
      </c>
      <c r="H268" s="174" t="str">
        <f t="shared" si="32"/>
        <v/>
      </c>
      <c r="I268" s="174" t="str">
        <f t="shared" si="32"/>
        <v/>
      </c>
      <c r="J268" s="174" t="str">
        <f t="shared" si="32"/>
        <v/>
      </c>
      <c r="K268" s="174" t="str">
        <f t="shared" si="32"/>
        <v/>
      </c>
      <c r="L268" s="174" t="str">
        <f t="shared" si="32"/>
        <v/>
      </c>
      <c r="M268" s="174" t="str">
        <f t="shared" si="32"/>
        <v/>
      </c>
      <c r="N268" s="174" t="str">
        <f t="shared" si="32"/>
        <v/>
      </c>
      <c r="O268" s="174" t="str">
        <f t="shared" si="32"/>
        <v/>
      </c>
      <c r="P268" s="174" t="str">
        <f t="shared" si="32"/>
        <v/>
      </c>
      <c r="Q268" s="174" t="str">
        <f t="shared" si="32"/>
        <v/>
      </c>
      <c r="R268" s="174" t="str">
        <f t="shared" si="32"/>
        <v/>
      </c>
      <c r="S268" s="174" t="str">
        <f t="shared" si="32"/>
        <v/>
      </c>
      <c r="T268" s="174" t="str">
        <f t="shared" si="32"/>
        <v/>
      </c>
      <c r="U268" s="174" t="str">
        <f t="shared" si="32"/>
        <v/>
      </c>
      <c r="V268" s="174" t="str">
        <f t="shared" si="32"/>
        <v/>
      </c>
      <c r="W268" s="174" t="str">
        <f t="shared" si="32"/>
        <v/>
      </c>
      <c r="X268" s="174" t="str">
        <f t="shared" si="32"/>
        <v/>
      </c>
      <c r="Y268" s="174" t="str">
        <f t="shared" si="32"/>
        <v/>
      </c>
      <c r="Z268" s="174" t="str">
        <f t="shared" si="32"/>
        <v/>
      </c>
      <c r="AA268" s="174" t="str">
        <f t="shared" si="32"/>
        <v/>
      </c>
      <c r="AB268" s="174" t="str">
        <f t="shared" si="32"/>
        <v/>
      </c>
      <c r="AC268" s="174" t="str">
        <f t="shared" si="32"/>
        <v/>
      </c>
      <c r="AD268" s="174" t="str">
        <f t="shared" si="32"/>
        <v/>
      </c>
      <c r="AE268" s="174" t="str">
        <f t="shared" si="32"/>
        <v/>
      </c>
      <c r="AF268" s="174" t="str">
        <f t="shared" si="3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3">IF(B236&lt;100,"",B236-620)</f>
        <v/>
      </c>
      <c r="C269" s="174" t="str">
        <f t="shared" si="33"/>
        <v/>
      </c>
      <c r="D269" s="174" t="str">
        <f t="shared" si="33"/>
        <v/>
      </c>
      <c r="E269" s="174" t="str">
        <f t="shared" si="33"/>
        <v/>
      </c>
      <c r="F269" s="174" t="str">
        <f t="shared" si="33"/>
        <v/>
      </c>
      <c r="G269" s="174" t="str">
        <f t="shared" si="33"/>
        <v/>
      </c>
      <c r="H269" s="174" t="str">
        <f t="shared" si="33"/>
        <v/>
      </c>
      <c r="I269" s="174" t="str">
        <f t="shared" si="33"/>
        <v/>
      </c>
      <c r="J269" s="174" t="str">
        <f t="shared" si="33"/>
        <v/>
      </c>
      <c r="K269" s="174" t="str">
        <f t="shared" si="33"/>
        <v/>
      </c>
      <c r="L269" s="174" t="str">
        <f t="shared" si="33"/>
        <v/>
      </c>
      <c r="M269" s="174" t="str">
        <f t="shared" si="33"/>
        <v/>
      </c>
      <c r="N269" s="174" t="str">
        <f t="shared" si="33"/>
        <v/>
      </c>
      <c r="O269" s="174" t="str">
        <f t="shared" si="33"/>
        <v/>
      </c>
      <c r="P269" s="174" t="str">
        <f t="shared" si="33"/>
        <v/>
      </c>
      <c r="Q269" s="174" t="str">
        <f t="shared" si="33"/>
        <v/>
      </c>
      <c r="R269" s="174" t="str">
        <f t="shared" si="33"/>
        <v/>
      </c>
      <c r="S269" s="174" t="str">
        <f t="shared" si="33"/>
        <v/>
      </c>
      <c r="T269" s="174" t="str">
        <f t="shared" si="33"/>
        <v/>
      </c>
      <c r="U269" s="174" t="str">
        <f t="shared" si="33"/>
        <v/>
      </c>
      <c r="V269" s="174" t="str">
        <f t="shared" si="33"/>
        <v/>
      </c>
      <c r="W269" s="174" t="str">
        <f t="shared" si="33"/>
        <v/>
      </c>
      <c r="X269" s="174" t="str">
        <f t="shared" si="33"/>
        <v/>
      </c>
      <c r="Y269" s="174" t="str">
        <f t="shared" si="33"/>
        <v/>
      </c>
      <c r="Z269" s="174" t="str">
        <f t="shared" si="33"/>
        <v/>
      </c>
      <c r="AA269" s="174" t="str">
        <f t="shared" si="33"/>
        <v/>
      </c>
      <c r="AB269" s="174" t="str">
        <f t="shared" si="33"/>
        <v/>
      </c>
      <c r="AC269" s="174" t="str">
        <f t="shared" si="33"/>
        <v/>
      </c>
      <c r="AD269" s="174" t="str">
        <f t="shared" si="33"/>
        <v/>
      </c>
      <c r="AE269" s="174" t="str">
        <f t="shared" si="33"/>
        <v/>
      </c>
      <c r="AF269" s="174" t="str">
        <f t="shared" si="3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4">IF(B237&lt;100,"",B237-330)</f>
        <v/>
      </c>
      <c r="C270" s="174" t="str">
        <f t="shared" si="34"/>
        <v/>
      </c>
      <c r="D270" s="174" t="str">
        <f t="shared" si="34"/>
        <v/>
      </c>
      <c r="E270" s="174" t="str">
        <f t="shared" si="34"/>
        <v/>
      </c>
      <c r="F270" s="174" t="str">
        <f t="shared" si="34"/>
        <v/>
      </c>
      <c r="G270" s="174" t="str">
        <f t="shared" si="34"/>
        <v/>
      </c>
      <c r="H270" s="174" t="str">
        <f t="shared" si="34"/>
        <v/>
      </c>
      <c r="I270" s="174" t="str">
        <f t="shared" si="34"/>
        <v/>
      </c>
      <c r="J270" s="174" t="str">
        <f t="shared" si="34"/>
        <v/>
      </c>
      <c r="K270" s="174" t="str">
        <f t="shared" si="34"/>
        <v/>
      </c>
      <c r="L270" s="174" t="str">
        <f t="shared" si="34"/>
        <v/>
      </c>
      <c r="M270" s="174" t="str">
        <f t="shared" si="34"/>
        <v/>
      </c>
      <c r="N270" s="174" t="str">
        <f t="shared" si="34"/>
        <v/>
      </c>
      <c r="O270" s="174" t="str">
        <f t="shared" si="34"/>
        <v/>
      </c>
      <c r="P270" s="174" t="str">
        <f t="shared" si="34"/>
        <v/>
      </c>
      <c r="Q270" s="174" t="str">
        <f t="shared" si="34"/>
        <v/>
      </c>
      <c r="R270" s="174" t="str">
        <f t="shared" si="34"/>
        <v/>
      </c>
      <c r="S270" s="174" t="str">
        <f t="shared" si="34"/>
        <v/>
      </c>
      <c r="T270" s="174" t="str">
        <f t="shared" si="34"/>
        <v/>
      </c>
      <c r="U270" s="174" t="str">
        <f t="shared" si="34"/>
        <v/>
      </c>
      <c r="V270" s="174" t="str">
        <f t="shared" si="34"/>
        <v/>
      </c>
      <c r="W270" s="174" t="str">
        <f t="shared" si="34"/>
        <v/>
      </c>
      <c r="X270" s="174" t="str">
        <f t="shared" si="34"/>
        <v/>
      </c>
      <c r="Y270" s="174" t="str">
        <f t="shared" si="34"/>
        <v/>
      </c>
      <c r="Z270" s="174" t="str">
        <f t="shared" si="34"/>
        <v/>
      </c>
      <c r="AA270" s="174" t="str">
        <f t="shared" si="34"/>
        <v/>
      </c>
      <c r="AB270" s="174" t="str">
        <f t="shared" si="34"/>
        <v/>
      </c>
      <c r="AC270" s="174" t="str">
        <f t="shared" si="34"/>
        <v/>
      </c>
      <c r="AD270" s="174" t="str">
        <f t="shared" si="34"/>
        <v/>
      </c>
      <c r="AE270" s="174" t="str">
        <f t="shared" si="34"/>
        <v/>
      </c>
      <c r="AF270" s="174" t="str">
        <f t="shared" si="3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5">IF(B238&lt;100,"",B238-1500)</f>
        <v/>
      </c>
      <c r="C271" s="174" t="str">
        <f t="shared" si="35"/>
        <v/>
      </c>
      <c r="D271" s="174" t="str">
        <f t="shared" si="35"/>
        <v/>
      </c>
      <c r="E271" s="174" t="str">
        <f t="shared" si="35"/>
        <v/>
      </c>
      <c r="F271" s="174" t="str">
        <f t="shared" si="35"/>
        <v/>
      </c>
      <c r="G271" s="174" t="str">
        <f t="shared" si="35"/>
        <v/>
      </c>
      <c r="H271" s="174" t="str">
        <f t="shared" si="35"/>
        <v/>
      </c>
      <c r="I271" s="174" t="str">
        <f t="shared" si="35"/>
        <v/>
      </c>
      <c r="J271" s="174" t="str">
        <f t="shared" si="35"/>
        <v/>
      </c>
      <c r="K271" s="174" t="str">
        <f t="shared" si="35"/>
        <v/>
      </c>
      <c r="L271" s="174" t="str">
        <f t="shared" si="35"/>
        <v/>
      </c>
      <c r="M271" s="174" t="str">
        <f t="shared" si="35"/>
        <v/>
      </c>
      <c r="N271" s="174" t="str">
        <f t="shared" si="35"/>
        <v/>
      </c>
      <c r="O271" s="174" t="str">
        <f t="shared" si="35"/>
        <v/>
      </c>
      <c r="P271" s="174" t="str">
        <f t="shared" si="35"/>
        <v/>
      </c>
      <c r="Q271" s="174" t="str">
        <f t="shared" si="35"/>
        <v/>
      </c>
      <c r="R271" s="174" t="str">
        <f t="shared" si="35"/>
        <v/>
      </c>
      <c r="S271" s="174" t="str">
        <f t="shared" si="35"/>
        <v/>
      </c>
      <c r="T271" s="174" t="str">
        <f t="shared" si="35"/>
        <v/>
      </c>
      <c r="U271" s="174" t="str">
        <f t="shared" si="35"/>
        <v/>
      </c>
      <c r="V271" s="174" t="str">
        <f t="shared" si="35"/>
        <v/>
      </c>
      <c r="W271" s="174" t="str">
        <f t="shared" si="35"/>
        <v/>
      </c>
      <c r="X271" s="174" t="str">
        <f t="shared" si="35"/>
        <v/>
      </c>
      <c r="Y271" s="174" t="str">
        <f t="shared" si="35"/>
        <v/>
      </c>
      <c r="Z271" s="174" t="str">
        <f t="shared" si="35"/>
        <v/>
      </c>
      <c r="AA271" s="174" t="str">
        <f t="shared" si="35"/>
        <v/>
      </c>
      <c r="AB271" s="174" t="str">
        <f t="shared" si="35"/>
        <v/>
      </c>
      <c r="AC271" s="174" t="str">
        <f t="shared" si="35"/>
        <v/>
      </c>
      <c r="AD271" s="174" t="str">
        <f t="shared" si="35"/>
        <v/>
      </c>
      <c r="AE271" s="174" t="str">
        <f t="shared" si="35"/>
        <v/>
      </c>
      <c r="AF271" s="174" t="str">
        <f t="shared" si="3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Y12:AF12 Y17:AF32 Y34:AF43 Y45:AF45 D109:AF109 D111:AF116 Y14:AF15 V13:AF13">
    <cfRule type="expression" dxfId="5350" priority="378">
      <formula>B$9&gt;=20/24</formula>
    </cfRule>
    <cfRule type="expression" dxfId="5349" priority="379">
      <formula>AND(B$9&gt;=14/24,B$9&lt;20/24)</formula>
    </cfRule>
    <cfRule type="expression" dxfId="5348" priority="380">
      <formula>AND(B$9&gt;=8/24,B$9&lt;14/24)</formula>
    </cfRule>
    <cfRule type="expression" dxfId="5347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 Y12:AF12 Y17:AF32 Y34:AF43 Y45:AF45 Y14:AF15 V13:AF13">
    <cfRule type="expression" dxfId="5346" priority="376">
      <formula>V12&gt;$AG12</formula>
    </cfRule>
  </conditionalFormatting>
  <conditionalFormatting sqref="A99:A109 A59:A86 A95:A97 A202:A232 A46:A57 A118:A189 A41:A42 A91:A93 A88:A89 A111:A113 A38:A39 A19:A20 A12:A15 A22:A32 A17 A34:A36">
    <cfRule type="expression" dxfId="5345" priority="375">
      <formula>$AH12=0</formula>
    </cfRule>
  </conditionalFormatting>
  <conditionalFormatting sqref="A114">
    <cfRule type="expression" dxfId="5344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343" priority="372">
      <formula>$AH45=0</formula>
    </cfRule>
  </conditionalFormatting>
  <conditionalFormatting sqref="A98">
    <cfRule type="expression" dxfId="5342" priority="371">
      <formula>$AH98=0</formula>
    </cfRule>
  </conditionalFormatting>
  <conditionalFormatting sqref="A18">
    <cfRule type="expression" dxfId="5341" priority="370">
      <formula>$AH18=0</formula>
    </cfRule>
  </conditionalFormatting>
  <conditionalFormatting sqref="A196:A201">
    <cfRule type="expression" dxfId="5340" priority="369">
      <formula>$AH196=0</formula>
    </cfRule>
  </conditionalFormatting>
  <conditionalFormatting sqref="A190:A195">
    <cfRule type="expression" dxfId="5339" priority="368">
      <formula>$AH190=0</formula>
    </cfRule>
  </conditionalFormatting>
  <conditionalFormatting sqref="A58">
    <cfRule type="expression" dxfId="5338" priority="367">
      <formula>$AH58=0</formula>
    </cfRule>
  </conditionalFormatting>
  <conditionalFormatting sqref="A94">
    <cfRule type="expression" dxfId="5337" priority="366">
      <formula>$AH94=0</formula>
    </cfRule>
  </conditionalFormatting>
  <conditionalFormatting sqref="AD99:AF99 E99:X99">
    <cfRule type="expression" dxfId="5336" priority="362">
      <formula>E$9&gt;=20/24</formula>
    </cfRule>
    <cfRule type="expression" dxfId="5335" priority="363">
      <formula>AND(E$9&gt;=14/24,E$9&lt;20/24)</formula>
    </cfRule>
    <cfRule type="expression" dxfId="5334" priority="364">
      <formula>AND(E$9&gt;=8/24,E$9&lt;14/24)</formula>
    </cfRule>
    <cfRule type="expression" dxfId="5333" priority="365">
      <formula>E$9&lt;8/24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32" priority="384">
      <formula>C$9&gt;=20/24</formula>
    </cfRule>
    <cfRule type="expression" dxfId="5331" priority="385">
      <formula>AND(C$9&gt;=14/24,C$9&lt;20/24)</formula>
    </cfRule>
    <cfRule type="expression" dxfId="5330" priority="386">
      <formula>AND(C$9&gt;=8/24,C$9&lt;14/24)</formula>
    </cfRule>
    <cfRule type="expression" dxfId="5329" priority="387">
      <formula>C$9&lt;8/24</formula>
    </cfRule>
  </conditionalFormatting>
  <conditionalFormatting sqref="A233">
    <cfRule type="expression" dxfId="5328" priority="388">
      <formula>$AH233=0</formula>
    </cfRule>
  </conditionalFormatting>
  <conditionalFormatting sqref="AG245">
    <cfRule type="expression" dxfId="5327" priority="389">
      <formula>B$9&gt;=20/24</formula>
    </cfRule>
    <cfRule type="expression" dxfId="5326" priority="390">
      <formula>AND(B$9&gt;=14/24,B$9&lt;20/24)</formula>
    </cfRule>
    <cfRule type="expression" dxfId="5325" priority="391">
      <formula>AND(B$9&gt;=8/24,B$9&lt;14/24)</formula>
    </cfRule>
    <cfRule type="expression" dxfId="5324" priority="392">
      <formula>B$9&lt;8/24</formula>
    </cfRule>
  </conditionalFormatting>
  <conditionalFormatting sqref="S8">
    <cfRule type="expression" dxfId="5323" priority="357">
      <formula>U$9&gt;=20/24</formula>
    </cfRule>
    <cfRule type="expression" dxfId="5322" priority="358">
      <formula>AND(U$9&gt;=14/24,U$9&lt;20/24)</formula>
    </cfRule>
    <cfRule type="expression" dxfId="5321" priority="359">
      <formula>AND(U$9&gt;=8/24,U$9&lt;14/24)</formula>
    </cfRule>
    <cfRule type="expression" dxfId="5320" priority="360">
      <formula>U$9&lt;8/24</formula>
    </cfRule>
  </conditionalFormatting>
  <conditionalFormatting sqref="AB8">
    <cfRule type="expression" dxfId="5319" priority="353">
      <formula>AD$9&gt;=20/24</formula>
    </cfRule>
    <cfRule type="expression" dxfId="5318" priority="354">
      <formula>AND(AD$9&gt;=14/24,AD$9&lt;20/24)</formula>
    </cfRule>
    <cfRule type="expression" dxfId="5317" priority="355">
      <formula>AND(AD$9&gt;=8/24,AD$9&lt;14/24)</formula>
    </cfRule>
    <cfRule type="expression" dxfId="5316" priority="356">
      <formula>AD$9&lt;8/24</formula>
    </cfRule>
  </conditionalFormatting>
  <conditionalFormatting sqref="AH245:AX245">
    <cfRule type="expression" dxfId="5315" priority="393">
      <formula>AG$9&gt;=20/24</formula>
    </cfRule>
    <cfRule type="expression" dxfId="5314" priority="394">
      <formula>AND(AG$9&gt;=14/24,AG$9&lt;20/24)</formula>
    </cfRule>
    <cfRule type="expression" dxfId="5313" priority="395">
      <formula>AND(AG$9&gt;=8/24,AG$9&lt;14/24)</formula>
    </cfRule>
    <cfRule type="expression" dxfId="5312" priority="396">
      <formula>AG$9&lt;8/24</formula>
    </cfRule>
  </conditionalFormatting>
  <conditionalFormatting sqref="T245">
    <cfRule type="expression" dxfId="5311" priority="397">
      <formula>AX$9&gt;=20/24</formula>
    </cfRule>
    <cfRule type="expression" dxfId="5310" priority="398">
      <formula>AND(AX$9&gt;=14/24,AX$9&lt;20/24)</formula>
    </cfRule>
    <cfRule type="expression" dxfId="5309" priority="399">
      <formula>AND(AX$9&gt;=8/24,AX$9&lt;14/24)</formula>
    </cfRule>
    <cfRule type="expression" dxfId="5308" priority="400">
      <formula>AX$9&lt;8/24</formula>
    </cfRule>
  </conditionalFormatting>
  <conditionalFormatting sqref="A115:A116">
    <cfRule type="expression" dxfId="5307" priority="352">
      <formula>$AH115=0</formula>
    </cfRule>
  </conditionalFormatting>
  <conditionalFormatting sqref="N54:X55 Y56:AF57 N71:AF71">
    <cfRule type="expression" dxfId="5306" priority="348">
      <formula>N$9&gt;=20/24</formula>
    </cfRule>
    <cfRule type="expression" dxfId="5305" priority="349">
      <formula>AND(N$9&gt;=14/24,N$9&lt;20/24)</formula>
    </cfRule>
    <cfRule type="expression" dxfId="5304" priority="350">
      <formula>AND(N$9&gt;=8/24,N$9&lt;14/24)</formula>
    </cfRule>
    <cfRule type="expression" dxfId="5303" priority="351">
      <formula>N$9&lt;8/24</formula>
    </cfRule>
  </conditionalFormatting>
  <conditionalFormatting sqref="N53:X53">
    <cfRule type="expression" dxfId="5302" priority="344">
      <formula>N$9&gt;=20/24</formula>
    </cfRule>
    <cfRule type="expression" dxfId="5301" priority="345">
      <formula>AND(N$9&gt;=14/24,N$9&lt;20/24)</formula>
    </cfRule>
    <cfRule type="expression" dxfId="5300" priority="346">
      <formula>AND(N$9&gt;=8/24,N$9&lt;14/24)</formula>
    </cfRule>
    <cfRule type="expression" dxfId="5299" priority="347">
      <formula>N$9&lt;8/24</formula>
    </cfRule>
  </conditionalFormatting>
  <conditionalFormatting sqref="N53:X55 Y56:AF57">
    <cfRule type="expression" dxfId="5298" priority="343">
      <formula>N53&gt;$AG53</formula>
    </cfRule>
  </conditionalFormatting>
  <conditionalFormatting sqref="M100:X106 N72:X73 D86:AF86 X47:AF47 X96:AF96 X67:AF69 Y72:AF74 AD100:AF106">
    <cfRule type="expression" dxfId="5297" priority="339">
      <formula>D$9&gt;=20/24</formula>
    </cfRule>
    <cfRule type="expression" dxfId="5296" priority="340">
      <formula>AND(D$9&gt;=14/24,D$9&lt;20/24)</formula>
    </cfRule>
    <cfRule type="expression" dxfId="5295" priority="341">
      <formula>AND(D$9&gt;=8/24,D$9&lt;14/24)</formula>
    </cfRule>
    <cfRule type="expression" dxfId="5294" priority="342">
      <formula>D$9&lt;8/24</formula>
    </cfRule>
  </conditionalFormatting>
  <conditionalFormatting sqref="X47:AF47 X67:AF69">
    <cfRule type="expression" dxfId="5293" priority="338">
      <formula>X47&gt;$AG47</formula>
    </cfRule>
  </conditionalFormatting>
  <conditionalFormatting sqref="Y53:AF55">
    <cfRule type="expression" dxfId="5292" priority="334">
      <formula>Y$9&gt;=20/24</formula>
    </cfRule>
    <cfRule type="expression" dxfId="5291" priority="335">
      <formula>AND(Y$9&gt;=14/24,Y$9&lt;20/24)</formula>
    </cfRule>
    <cfRule type="expression" dxfId="5290" priority="336">
      <formula>AND(Y$9&gt;=8/24,Y$9&lt;14/24)</formula>
    </cfRule>
    <cfRule type="expression" dxfId="5289" priority="337">
      <formula>Y$9&lt;8/24</formula>
    </cfRule>
  </conditionalFormatting>
  <conditionalFormatting sqref="Y53:AF55">
    <cfRule type="expression" dxfId="5288" priority="333">
      <formula>Y53&gt;$AG53</formula>
    </cfRule>
  </conditionalFormatting>
  <conditionalFormatting sqref="C97:AF97 M88:AF88">
    <cfRule type="expression" dxfId="5287" priority="329">
      <formula>C$9&gt;=20/24</formula>
    </cfRule>
    <cfRule type="expression" dxfId="5286" priority="330">
      <formula>AND(C$9&gt;=14/24,C$9&lt;20/24)</formula>
    </cfRule>
    <cfRule type="expression" dxfId="5285" priority="331">
      <formula>AND(C$9&gt;=8/24,C$9&lt;14/24)</formula>
    </cfRule>
    <cfRule type="expression" dxfId="5284" priority="332">
      <formula>C$9&lt;8/24</formula>
    </cfRule>
  </conditionalFormatting>
  <conditionalFormatting sqref="T47:W47">
    <cfRule type="expression" dxfId="5283" priority="325">
      <formula>T$9&gt;=20/24</formula>
    </cfRule>
    <cfRule type="expression" dxfId="5282" priority="326">
      <formula>AND(T$9&gt;=14/24,T$9&lt;20/24)</formula>
    </cfRule>
    <cfRule type="expression" dxfId="5281" priority="327">
      <formula>AND(T$9&gt;=8/24,T$9&lt;14/24)</formula>
    </cfRule>
    <cfRule type="expression" dxfId="5280" priority="328">
      <formula>T$9&lt;8/24</formula>
    </cfRule>
  </conditionalFormatting>
  <conditionalFormatting sqref="T47:W47">
    <cfRule type="expression" dxfId="5279" priority="324">
      <formula>T47&gt;$AG47</formula>
    </cfRule>
  </conditionalFormatting>
  <conditionalFormatting sqref="Y46:AF46">
    <cfRule type="expression" dxfId="5278" priority="320">
      <formula>Y$9&gt;=20/24</formula>
    </cfRule>
    <cfRule type="expression" dxfId="5277" priority="321">
      <formula>AND(Y$9&gt;=14/24,Y$9&lt;20/24)</formula>
    </cfRule>
    <cfRule type="expression" dxfId="5276" priority="322">
      <formula>AND(Y$9&gt;=8/24,Y$9&lt;14/24)</formula>
    </cfRule>
    <cfRule type="expression" dxfId="5275" priority="323">
      <formula>Y$9&lt;8/24</formula>
    </cfRule>
  </conditionalFormatting>
  <conditionalFormatting sqref="Y46:AF46">
    <cfRule type="expression" dxfId="5274" priority="315">
      <formula>Y46&gt;$AG46</formula>
    </cfRule>
  </conditionalFormatting>
  <conditionalFormatting sqref="AG70 AG87 E100:L106 Q67:W69">
    <cfRule type="expression" dxfId="5273" priority="311">
      <formula>E$9&gt;=20/24</formula>
    </cfRule>
    <cfRule type="expression" dxfId="5272" priority="312">
      <formula>AND(E$9&gt;=14/24,E$9&lt;20/24)</formula>
    </cfRule>
    <cfRule type="expression" dxfId="5271" priority="313">
      <formula>AND(E$9&gt;=8/24,E$9&lt;14/24)</formula>
    </cfRule>
    <cfRule type="expression" dxfId="5270" priority="314">
      <formula>E$9&lt;8/24</formula>
    </cfRule>
  </conditionalFormatting>
  <conditionalFormatting sqref="AG48 AG66 AG70 Q67:W69">
    <cfRule type="expression" dxfId="5269" priority="310">
      <formula>Q48&gt;$AG48</formula>
    </cfRule>
  </conditionalFormatting>
  <conditionalFormatting sqref="Y58:AF58">
    <cfRule type="expression" dxfId="5268" priority="306">
      <formula>Y$9&gt;=20/24</formula>
    </cfRule>
    <cfRule type="expression" dxfId="5267" priority="307">
      <formula>AND(Y$9&gt;=14/24,Y$9&lt;20/24)</formula>
    </cfRule>
    <cfRule type="expression" dxfId="5266" priority="308">
      <formula>AND(Y$9&gt;=8/24,Y$9&lt;14/24)</formula>
    </cfRule>
    <cfRule type="expression" dxfId="5265" priority="309">
      <formula>Y$9&lt;8/24</formula>
    </cfRule>
  </conditionalFormatting>
  <conditionalFormatting sqref="Y58:AF58">
    <cfRule type="expression" dxfId="5264" priority="305">
      <formula>Y58&gt;$AG58</formula>
    </cfRule>
  </conditionalFormatting>
  <conditionalFormatting sqref="A43">
    <cfRule type="expression" dxfId="5263" priority="304">
      <formula>$AH43=0</formula>
    </cfRule>
  </conditionalFormatting>
  <conditionalFormatting sqref="X91:AF95">
    <cfRule type="expression" dxfId="5262" priority="300">
      <formula>X$9&gt;=20/24</formula>
    </cfRule>
    <cfRule type="expression" dxfId="5261" priority="301">
      <formula>AND(X$9&gt;=14/24,X$9&lt;20/24)</formula>
    </cfRule>
    <cfRule type="expression" dxfId="5260" priority="302">
      <formula>AND(X$9&gt;=8/24,X$9&lt;14/24)</formula>
    </cfRule>
    <cfRule type="expression" dxfId="5259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N49:Z49 Y50:Z51 AA49:AF51">
    <cfRule type="expression" dxfId="5258" priority="296">
      <formula>N$9&gt;=20/24</formula>
    </cfRule>
    <cfRule type="expression" dxfId="5257" priority="297">
      <formula>AND(N$9&gt;=14/24,N$9&lt;20/24)</formula>
    </cfRule>
    <cfRule type="expression" dxfId="5256" priority="298">
      <formula>AND(N$9&gt;=8/24,N$9&lt;14/24)</formula>
    </cfRule>
    <cfRule type="expression" dxfId="5255" priority="299">
      <formula>N$9&lt;8/24</formula>
    </cfRule>
  </conditionalFormatting>
  <conditionalFormatting sqref="N49:Z49 Y50:Z51 AA49:AF51">
    <cfRule type="expression" dxfId="5254" priority="295">
      <formula>N49&gt;$AG49</formula>
    </cfRule>
  </conditionalFormatting>
  <conditionalFormatting sqref="AG52">
    <cfRule type="expression" dxfId="5253" priority="291">
      <formula>AG$9&gt;=20/24</formula>
    </cfRule>
    <cfRule type="expression" dxfId="5252" priority="292">
      <formula>AND(AG$9&gt;=14/24,AG$9&lt;20/24)</formula>
    </cfRule>
    <cfRule type="expression" dxfId="5251" priority="293">
      <formula>AND(AG$9&gt;=8/24,AG$9&lt;14/24)</formula>
    </cfRule>
    <cfRule type="expression" dxfId="5250" priority="294">
      <formula>AG$9&lt;8/24</formula>
    </cfRule>
  </conditionalFormatting>
  <conditionalFormatting sqref="AG52">
    <cfRule type="expression" dxfId="5249" priority="290">
      <formula>AG52&gt;$AG52</formula>
    </cfRule>
  </conditionalFormatting>
  <conditionalFormatting sqref="C107:AF107">
    <cfRule type="expression" dxfId="5248" priority="286">
      <formula>C$9&gt;=20/24</formula>
    </cfRule>
    <cfRule type="expression" dxfId="5247" priority="287">
      <formula>AND(C$9&gt;=14/24,C$9&lt;20/24)</formula>
    </cfRule>
    <cfRule type="expression" dxfId="5246" priority="288">
      <formula>AND(C$9&gt;=8/24,C$9&lt;14/24)</formula>
    </cfRule>
    <cfRule type="expression" dxfId="5245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244" priority="284">
      <formula>$AH40=0</formula>
    </cfRule>
  </conditionalFormatting>
  <conditionalFormatting sqref="A90">
    <cfRule type="expression" dxfId="5243" priority="282">
      <formula>$AH90=0</formula>
    </cfRule>
  </conditionalFormatting>
  <conditionalFormatting sqref="A87">
    <cfRule type="expression" dxfId="5242" priority="283">
      <formula>$AH87=0</formula>
    </cfRule>
  </conditionalFormatting>
  <conditionalFormatting sqref="D110:AF110">
    <cfRule type="expression" dxfId="5241" priority="278">
      <formula>D$9&gt;=20/24</formula>
    </cfRule>
    <cfRule type="expression" dxfId="5240" priority="279">
      <formula>AND(D$9&gt;=14/24,D$9&lt;20/24)</formula>
    </cfRule>
    <cfRule type="expression" dxfId="5239" priority="280">
      <formula>AND(D$9&gt;=8/24,D$9&lt;14/24)</formula>
    </cfRule>
    <cfRule type="expression" dxfId="5238" priority="281">
      <formula>D$9&lt;8/24</formula>
    </cfRule>
  </conditionalFormatting>
  <conditionalFormatting sqref="A110">
    <cfRule type="expression" dxfId="5237" priority="277">
      <formula>$AH110=0</formula>
    </cfRule>
  </conditionalFormatting>
  <conditionalFormatting sqref="A21">
    <cfRule type="expression" dxfId="5236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235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234" priority="269">
      <formula>Y$9&gt;=20/24</formula>
    </cfRule>
    <cfRule type="expression" dxfId="5233" priority="270">
      <formula>AND(Y$9&gt;=14/24,Y$9&lt;20/24)</formula>
    </cfRule>
    <cfRule type="expression" dxfId="5232" priority="271">
      <formula>AND(Y$9&gt;=8/24,Y$9&lt;14/24)</formula>
    </cfRule>
    <cfRule type="expression" dxfId="5231" priority="272">
      <formula>Y$9&lt;8/24</formula>
    </cfRule>
  </conditionalFormatting>
  <conditionalFormatting sqref="Y100:AC106">
    <cfRule type="expression" dxfId="5230" priority="265">
      <formula>Y$9&gt;=20/24</formula>
    </cfRule>
    <cfRule type="expression" dxfId="5229" priority="266">
      <formula>AND(Y$9&gt;=14/24,Y$9&lt;20/24)</formula>
    </cfRule>
    <cfRule type="expression" dxfId="5228" priority="267">
      <formula>AND(Y$9&gt;=8/24,Y$9&lt;14/24)</formula>
    </cfRule>
    <cfRule type="expression" dxfId="5227" priority="268">
      <formula>Y$9&lt;8/24</formula>
    </cfRule>
  </conditionalFormatting>
  <conditionalFormatting sqref="D47:S47">
    <cfRule type="expression" dxfId="5226" priority="257">
      <formula>D$9&gt;=20/24</formula>
    </cfRule>
    <cfRule type="expression" dxfId="5225" priority="258">
      <formula>AND(D$9&gt;=14/24,D$9&lt;20/24)</formula>
    </cfRule>
    <cfRule type="expression" dxfId="5224" priority="259">
      <formula>AND(D$9&gt;=8/24,D$9&lt;14/24)</formula>
    </cfRule>
    <cfRule type="expression" dxfId="5223" priority="260">
      <formula>D$9&lt;8/24</formula>
    </cfRule>
  </conditionalFormatting>
  <conditionalFormatting sqref="D47:S47">
    <cfRule type="expression" dxfId="5222" priority="256">
      <formula>D47&gt;$AG47</formula>
    </cfRule>
  </conditionalFormatting>
  <conditionalFormatting sqref="D99">
    <cfRule type="expression" dxfId="5221" priority="252">
      <formula>D$9&gt;=20/24</formula>
    </cfRule>
    <cfRule type="expression" dxfId="5220" priority="253">
      <formula>AND(D$9&gt;=14/24,D$9&lt;20/24)</formula>
    </cfRule>
    <cfRule type="expression" dxfId="5219" priority="254">
      <formula>AND(D$9&gt;=8/24,D$9&lt;14/24)</formula>
    </cfRule>
    <cfRule type="expression" dxfId="5218" priority="255">
      <formula>D$9&lt;8/24</formula>
    </cfRule>
  </conditionalFormatting>
  <conditionalFormatting sqref="D71:M71">
    <cfRule type="expression" dxfId="5217" priority="248">
      <formula>D$9&gt;=20/24</formula>
    </cfRule>
    <cfRule type="expression" dxfId="5216" priority="249">
      <formula>AND(D$9&gt;=14/24,D$9&lt;20/24)</formula>
    </cfRule>
    <cfRule type="expression" dxfId="5215" priority="250">
      <formula>AND(D$9&gt;=8/24,D$9&lt;14/24)</formula>
    </cfRule>
    <cfRule type="expression" dxfId="5214" priority="251">
      <formula>D$9&lt;8/24</formula>
    </cfRule>
  </conditionalFormatting>
  <conditionalFormatting sqref="C86 C73:D73 D100:D106 C96:W96 D72 I67:P69 E72:M73 N74:X75 C83:AF85 Y75:AF76">
    <cfRule type="expression" dxfId="5213" priority="239">
      <formula>C$9&gt;=20/24</formula>
    </cfRule>
    <cfRule type="expression" dxfId="5212" priority="240">
      <formula>AND(C$9&gt;=14/24,C$9&lt;20/24)</formula>
    </cfRule>
    <cfRule type="expression" dxfId="5211" priority="241">
      <formula>AND(C$9&gt;=8/24,C$9&lt;14/24)</formula>
    </cfRule>
    <cfRule type="expression" dxfId="5210" priority="242">
      <formula>C$9&lt;8/24</formula>
    </cfRule>
  </conditionalFormatting>
  <conditionalFormatting sqref="I67:P69">
    <cfRule type="expression" dxfId="5209" priority="238">
      <formula>I67&gt;$AG67</formula>
    </cfRule>
  </conditionalFormatting>
  <conditionalFormatting sqref="B71:C71 B54:M57 N56:X57">
    <cfRule type="expression" dxfId="5208" priority="152">
      <formula>B$9&gt;=20/24</formula>
    </cfRule>
    <cfRule type="expression" dxfId="5207" priority="153">
      <formula>AND(B$9&gt;=14/24,B$9&lt;20/24)</formula>
    </cfRule>
    <cfRule type="expression" dxfId="5206" priority="154">
      <formula>AND(B$9&gt;=8/24,B$9&lt;14/24)</formula>
    </cfRule>
    <cfRule type="expression" dxfId="5205" priority="155">
      <formula>B$9&lt;8/24</formula>
    </cfRule>
  </conditionalFormatting>
  <conditionalFormatting sqref="C98:AF98 C70:AF70 C87:AF87 C89:AF89">
    <cfRule type="expression" dxfId="5204" priority="224">
      <formula>C$9&gt;=20/24</formula>
    </cfRule>
    <cfRule type="expression" dxfId="5203" priority="225">
      <formula>AND(C$9&gt;=14/24,C$9&lt;20/24)</formula>
    </cfRule>
    <cfRule type="expression" dxfId="5202" priority="226">
      <formula>AND(C$9&gt;=8/24,C$9&lt;14/24)</formula>
    </cfRule>
    <cfRule type="expression" dxfId="5201" priority="227">
      <formula>C$9&lt;8/24</formula>
    </cfRule>
  </conditionalFormatting>
  <conditionalFormatting sqref="C48:AF48 C65:AF66 C70:AF70">
    <cfRule type="expression" dxfId="5200" priority="223">
      <formula>C48&gt;$AG48</formula>
    </cfRule>
  </conditionalFormatting>
  <conditionalFormatting sqref="C82:AF82">
    <cfRule type="expression" dxfId="5199" priority="219">
      <formula>C$9&gt;=20/24</formula>
    </cfRule>
    <cfRule type="expression" dxfId="5198" priority="220">
      <formula>AND(C$9&gt;=14/24,C$9&lt;20/24)</formula>
    </cfRule>
    <cfRule type="expression" dxfId="5197" priority="221">
      <formula>AND(C$9&gt;=8/24,C$9&lt;14/24)</formula>
    </cfRule>
    <cfRule type="expression" dxfId="5196" priority="222">
      <formula>C$9&lt;8/24</formula>
    </cfRule>
  </conditionalFormatting>
  <conditionalFormatting sqref="C91:W95">
    <cfRule type="expression" dxfId="5195" priority="215">
      <formula>C$9&gt;=20/24</formula>
    </cfRule>
    <cfRule type="expression" dxfId="5194" priority="216">
      <formula>AND(C$9&gt;=14/24,C$9&lt;20/24)</formula>
    </cfRule>
    <cfRule type="expression" dxfId="5193" priority="217">
      <formula>AND(C$9&gt;=8/24,C$9&lt;14/24)</formula>
    </cfRule>
    <cfRule type="expression" dxfId="5192" priority="218">
      <formula>C$9&lt;8/24</formula>
    </cfRule>
  </conditionalFormatting>
  <conditionalFormatting sqref="D49:M49">
    <cfRule type="expression" dxfId="5191" priority="211">
      <formula>D$9&gt;=20/24</formula>
    </cfRule>
    <cfRule type="expression" dxfId="5190" priority="212">
      <formula>AND(D$9&gt;=14/24,D$9&lt;20/24)</formula>
    </cfRule>
    <cfRule type="expression" dxfId="5189" priority="213">
      <formula>AND(D$9&gt;=8/24,D$9&lt;14/24)</formula>
    </cfRule>
    <cfRule type="expression" dxfId="5188" priority="214">
      <formula>D$9&lt;8/24</formula>
    </cfRule>
  </conditionalFormatting>
  <conditionalFormatting sqref="D49:M49">
    <cfRule type="expression" dxfId="5187" priority="210">
      <formula>D49&gt;$AG49</formula>
    </cfRule>
  </conditionalFormatting>
  <conditionalFormatting sqref="C52:AF52">
    <cfRule type="expression" dxfId="5186" priority="206">
      <formula>C$9&gt;=20/24</formula>
    </cfRule>
    <cfRule type="expression" dxfId="5185" priority="207">
      <formula>AND(C$9&gt;=14/24,C$9&lt;20/24)</formula>
    </cfRule>
    <cfRule type="expression" dxfId="5184" priority="208">
      <formula>AND(C$9&gt;=8/24,C$9&lt;14/24)</formula>
    </cfRule>
    <cfRule type="expression" dxfId="5183" priority="209">
      <formula>C$9&lt;8/24</formula>
    </cfRule>
  </conditionalFormatting>
  <conditionalFormatting sqref="C52:AF52">
    <cfRule type="expression" dxfId="5182" priority="205">
      <formula>C52&gt;$AG52</formula>
    </cfRule>
  </conditionalFormatting>
  <conditionalFormatting sqref="B49:C51 D50:X51">
    <cfRule type="expression" dxfId="5181" priority="120">
      <formula>B$9&gt;=20/24</formula>
    </cfRule>
    <cfRule type="expression" dxfId="5180" priority="121">
      <formula>AND(B$9&gt;=14/24,B$9&lt;20/24)</formula>
    </cfRule>
    <cfRule type="expression" dxfId="5179" priority="122">
      <formula>AND(B$9&gt;=8/24,B$9&lt;14/24)</formula>
    </cfRule>
    <cfRule type="expression" dxfId="5178" priority="123">
      <formula>B$9&lt;8/24</formula>
    </cfRule>
  </conditionalFormatting>
  <conditionalFormatting sqref="Y59:AF64">
    <cfRule type="expression" dxfId="5177" priority="193">
      <formula>Y$9&gt;=20/24</formula>
    </cfRule>
    <cfRule type="expression" dxfId="5176" priority="194">
      <formula>AND(Y$9&gt;=14/24,Y$9&lt;20/24)</formula>
    </cfRule>
    <cfRule type="expression" dxfId="5175" priority="195">
      <formula>AND(Y$9&gt;=8/24,Y$9&lt;14/24)</formula>
    </cfRule>
    <cfRule type="expression" dxfId="5174" priority="196">
      <formula>Y$9&lt;8/24</formula>
    </cfRule>
  </conditionalFormatting>
  <conditionalFormatting sqref="Y59:AF64">
    <cfRule type="expression" dxfId="5173" priority="192">
      <formula>Y59&gt;$AG59</formula>
    </cfRule>
  </conditionalFormatting>
  <conditionalFormatting sqref="Y77:AF81">
    <cfRule type="expression" dxfId="5172" priority="174">
      <formula>Y$9&gt;=20/24</formula>
    </cfRule>
    <cfRule type="expression" dxfId="5171" priority="175">
      <formula>AND(Y$9&gt;=14/24,Y$9&lt;20/24)</formula>
    </cfRule>
    <cfRule type="expression" dxfId="5170" priority="176">
      <formula>AND(Y$9&gt;=8/24,Y$9&lt;14/24)</formula>
    </cfRule>
    <cfRule type="expression" dxfId="5169" priority="177">
      <formula>Y$9&lt;8/24</formula>
    </cfRule>
  </conditionalFormatting>
  <conditionalFormatting sqref="AL78:AN78 AL84:AN84 AN79:AN80">
    <cfRule type="expression" dxfId="5168" priority="170">
      <formula>AL$9&gt;=20/24</formula>
    </cfRule>
    <cfRule type="expression" dxfId="5167" priority="171">
      <formula>AND(AL$9&gt;=14/24,AL$9&lt;20/24)</formula>
    </cfRule>
    <cfRule type="expression" dxfId="5166" priority="172">
      <formula>AND(AL$9&gt;=8/24,AL$9&lt;14/24)</formula>
    </cfRule>
    <cfRule type="expression" dxfId="5165" priority="173">
      <formula>AL$9&lt;8/24</formula>
    </cfRule>
  </conditionalFormatting>
  <conditionalFormatting sqref="AN81:AN82">
    <cfRule type="expression" dxfId="5164" priority="166">
      <formula>AN$9&gt;=20/24</formula>
    </cfRule>
    <cfRule type="expression" dxfId="5163" priority="167">
      <formula>AND(AN$9&gt;=14/24,AN$9&lt;20/24)</formula>
    </cfRule>
    <cfRule type="expression" dxfId="5162" priority="168">
      <formula>AND(AN$9&gt;=8/24,AN$9&lt;14/24)</formula>
    </cfRule>
    <cfRule type="expression" dxfId="5161" priority="169">
      <formula>AN$9&lt;8/24</formula>
    </cfRule>
  </conditionalFormatting>
  <conditionalFormatting sqref="AL79:AM83">
    <cfRule type="expression" dxfId="5160" priority="402">
      <formula>AJ$9&gt;=20/24</formula>
    </cfRule>
    <cfRule type="expression" dxfId="5159" priority="403">
      <formula>AND(AJ$9&gt;=14/24,AJ$9&lt;20/24)</formula>
    </cfRule>
    <cfRule type="expression" dxfId="5158" priority="404">
      <formula>AND(AJ$9&gt;=8/24,AJ$9&lt;14/24)</formula>
    </cfRule>
    <cfRule type="expression" dxfId="5157" priority="405">
      <formula>AJ$9&lt;8/24</formula>
    </cfRule>
  </conditionalFormatting>
  <conditionalFormatting sqref="A117">
    <cfRule type="expression" dxfId="5156" priority="165">
      <formula>$AH117=0</formula>
    </cfRule>
  </conditionalFormatting>
  <conditionalFormatting sqref="B109:C109 B111:C116 B12:X12 B34:X43 B45:X45 B17:X32 B14:X15 B13:U13">
    <cfRule type="expression" dxfId="5155" priority="161">
      <formula>B$9&gt;=20/24</formula>
    </cfRule>
    <cfRule type="expression" dxfId="5154" priority="162">
      <formula>AND(B$9&gt;=14/24,B$9&lt;20/24)</formula>
    </cfRule>
    <cfRule type="expression" dxfId="5153" priority="163">
      <formula>AND(B$9&gt;=8/24,B$9&lt;14/24)</formula>
    </cfRule>
    <cfRule type="expression" dxfId="5152" priority="164">
      <formula>B$9&lt;8/24</formula>
    </cfRule>
  </conditionalFormatting>
  <conditionalFormatting sqref="B12:X12 B34:X43 B45:X45 B17:X32 B14:X15 B13:U13">
    <cfRule type="expression" dxfId="5151" priority="160">
      <formula>B12&gt;$AG12</formula>
    </cfRule>
  </conditionalFormatting>
  <conditionalFormatting sqref="B99:C99">
    <cfRule type="expression" dxfId="5150" priority="156">
      <formula>B$9&gt;=20/24</formula>
    </cfRule>
    <cfRule type="expression" dxfId="5149" priority="157">
      <formula>AND(B$9&gt;=14/24,B$9&lt;20/24)</formula>
    </cfRule>
    <cfRule type="expression" dxfId="5148" priority="158">
      <formula>AND(B$9&gt;=8/24,B$9&lt;14/24)</formula>
    </cfRule>
    <cfRule type="expression" dxfId="5147" priority="159">
      <formula>B$9&lt;8/24</formula>
    </cfRule>
  </conditionalFormatting>
  <conditionalFormatting sqref="B53:M53">
    <cfRule type="expression" dxfId="5146" priority="148">
      <formula>B$9&gt;=20/24</formula>
    </cfRule>
    <cfRule type="expression" dxfId="5145" priority="149">
      <formula>AND(B$9&gt;=14/24,B$9&lt;20/24)</formula>
    </cfRule>
    <cfRule type="expression" dxfId="5144" priority="150">
      <formula>AND(B$9&gt;=8/24,B$9&lt;14/24)</formula>
    </cfRule>
    <cfRule type="expression" dxfId="5143" priority="151">
      <formula>B$9&lt;8/24</formula>
    </cfRule>
  </conditionalFormatting>
  <conditionalFormatting sqref="B53:M57 N56:X57">
    <cfRule type="expression" dxfId="5142" priority="147">
      <formula>B53&gt;$AG53</formula>
    </cfRule>
  </conditionalFormatting>
  <conditionalFormatting sqref="B96 B86 B72:B73 C72 B47:C47 B100:C106 B67:H69 B74:M74">
    <cfRule type="expression" dxfId="5141" priority="143">
      <formula>B$9&gt;=20/24</formula>
    </cfRule>
    <cfRule type="expression" dxfId="5140" priority="144">
      <formula>AND(B$9&gt;=14/24,B$9&lt;20/24)</formula>
    </cfRule>
    <cfRule type="expression" dxfId="5139" priority="145">
      <formula>AND(B$9&gt;=8/24,B$9&lt;14/24)</formula>
    </cfRule>
    <cfRule type="expression" dxfId="5138" priority="146">
      <formula>B$9&lt;8/24</formula>
    </cfRule>
  </conditionalFormatting>
  <conditionalFormatting sqref="B47:C47 B67:H69">
    <cfRule type="expression" dxfId="5137" priority="142">
      <formula>B47&gt;$AG47</formula>
    </cfRule>
  </conditionalFormatting>
  <conditionalFormatting sqref="B97 B88:L88">
    <cfRule type="expression" dxfId="5136" priority="138">
      <formula>B$9&gt;=20/24</formula>
    </cfRule>
    <cfRule type="expression" dxfId="5135" priority="139">
      <formula>AND(B$9&gt;=14/24,B$9&lt;20/24)</formula>
    </cfRule>
    <cfRule type="expression" dxfId="5134" priority="140">
      <formula>AND(B$9&gt;=8/24,B$9&lt;14/24)</formula>
    </cfRule>
    <cfRule type="expression" dxfId="5133" priority="141">
      <formula>B$9&lt;8/24</formula>
    </cfRule>
  </conditionalFormatting>
  <conditionalFormatting sqref="B46:X46">
    <cfRule type="expression" dxfId="5132" priority="134">
      <formula>B$9&gt;=20/24</formula>
    </cfRule>
    <cfRule type="expression" dxfId="5131" priority="135">
      <formula>AND(B$9&gt;=14/24,B$9&lt;20/24)</formula>
    </cfRule>
    <cfRule type="expression" dxfId="5130" priority="136">
      <formula>AND(B$9&gt;=8/24,B$9&lt;14/24)</formula>
    </cfRule>
    <cfRule type="expression" dxfId="5129" priority="137">
      <formula>B$9&lt;8/24</formula>
    </cfRule>
  </conditionalFormatting>
  <conditionalFormatting sqref="B46:X46">
    <cfRule type="expression" dxfId="5128" priority="133">
      <formula>B46&gt;$AG46</formula>
    </cfRule>
  </conditionalFormatting>
  <conditionalFormatting sqref="B58:X58">
    <cfRule type="expression" dxfId="5127" priority="129">
      <formula>B$9&gt;=20/24</formula>
    </cfRule>
    <cfRule type="expression" dxfId="5126" priority="130">
      <formula>AND(B$9&gt;=14/24,B$9&lt;20/24)</formula>
    </cfRule>
    <cfRule type="expression" dxfId="5125" priority="131">
      <formula>AND(B$9&gt;=8/24,B$9&lt;14/24)</formula>
    </cfRule>
    <cfRule type="expression" dxfId="5124" priority="132">
      <formula>B$9&lt;8/24</formula>
    </cfRule>
  </conditionalFormatting>
  <conditionalFormatting sqref="B58:X58">
    <cfRule type="expression" dxfId="5123" priority="128">
      <formula>B58&gt;$AG58</formula>
    </cfRule>
  </conditionalFormatting>
  <conditionalFormatting sqref="B91:B95">
    <cfRule type="expression" dxfId="5122" priority="124">
      <formula>B$9&gt;=20/24</formula>
    </cfRule>
    <cfRule type="expression" dxfId="5121" priority="125">
      <formula>AND(B$9&gt;=14/24,B$9&lt;20/24)</formula>
    </cfRule>
    <cfRule type="expression" dxfId="5120" priority="126">
      <formula>AND(B$9&gt;=8/24,B$9&lt;14/24)</formula>
    </cfRule>
    <cfRule type="expression" dxfId="5119" priority="127">
      <formula>B$9&lt;8/24</formula>
    </cfRule>
  </conditionalFormatting>
  <conditionalFormatting sqref="B49:C51 D50:X51">
    <cfRule type="expression" dxfId="5118" priority="119">
      <formula>B49&gt;$AG49</formula>
    </cfRule>
  </conditionalFormatting>
  <conditionalFormatting sqref="B107">
    <cfRule type="expression" dxfId="5117" priority="115">
      <formula>B$9&gt;=20/24</formula>
    </cfRule>
    <cfRule type="expression" dxfId="5116" priority="116">
      <formula>AND(B$9&gt;=14/24,B$9&lt;20/24)</formula>
    </cfRule>
    <cfRule type="expression" dxfId="5115" priority="117">
      <formula>AND(B$9&gt;=8/24,B$9&lt;14/24)</formula>
    </cfRule>
    <cfRule type="expression" dxfId="5114" priority="118">
      <formula>B$9&lt;8/24</formula>
    </cfRule>
  </conditionalFormatting>
  <conditionalFormatting sqref="B110:C110">
    <cfRule type="expression" dxfId="5113" priority="111">
      <formula>B$9&gt;=20/24</formula>
    </cfRule>
    <cfRule type="expression" dxfId="5112" priority="112">
      <formula>AND(B$9&gt;=14/24,B$9&lt;20/24)</formula>
    </cfRule>
    <cfRule type="expression" dxfId="5111" priority="113">
      <formula>AND(B$9&gt;=8/24,B$9&lt;14/24)</formula>
    </cfRule>
    <cfRule type="expression" dxfId="5110" priority="114">
      <formula>B$9&lt;8/24</formula>
    </cfRule>
  </conditionalFormatting>
  <conditionalFormatting sqref="B83:B85 B75:M76 N76:X76">
    <cfRule type="expression" dxfId="5109" priority="107">
      <formula>B$9&gt;=20/24</formula>
    </cfRule>
    <cfRule type="expression" dxfId="5108" priority="108">
      <formula>AND(B$9&gt;=14/24,B$9&lt;20/24)</formula>
    </cfRule>
    <cfRule type="expression" dxfId="5107" priority="109">
      <formula>AND(B$9&gt;=8/24,B$9&lt;14/24)</formula>
    </cfRule>
    <cfRule type="expression" dxfId="5106" priority="110">
      <formula>B$9&lt;8/24</formula>
    </cfRule>
  </conditionalFormatting>
  <conditionalFormatting sqref="B89 B98 B70 B87">
    <cfRule type="expression" dxfId="5105" priority="103">
      <formula>B$9&gt;=20/24</formula>
    </cfRule>
    <cfRule type="expression" dxfId="5104" priority="104">
      <formula>AND(B$9&gt;=14/24,B$9&lt;20/24)</formula>
    </cfRule>
    <cfRule type="expression" dxfId="5103" priority="105">
      <formula>AND(B$9&gt;=8/24,B$9&lt;14/24)</formula>
    </cfRule>
    <cfRule type="expression" dxfId="5102" priority="106">
      <formula>B$9&lt;8/24</formula>
    </cfRule>
  </conditionalFormatting>
  <conditionalFormatting sqref="B48 B65:B66 B70">
    <cfRule type="expression" dxfId="5101" priority="102">
      <formula>B48&gt;$AG48</formula>
    </cfRule>
  </conditionalFormatting>
  <conditionalFormatting sqref="B82">
    <cfRule type="expression" dxfId="5100" priority="98">
      <formula>B$9&gt;=20/24</formula>
    </cfRule>
    <cfRule type="expression" dxfId="5099" priority="99">
      <formula>AND(B$9&gt;=14/24,B$9&lt;20/24)</formula>
    </cfRule>
    <cfRule type="expression" dxfId="5098" priority="100">
      <formula>AND(B$9&gt;=8/24,B$9&lt;14/24)</formula>
    </cfRule>
    <cfRule type="expression" dxfId="5097" priority="101">
      <formula>B$9&lt;8/24</formula>
    </cfRule>
  </conditionalFormatting>
  <conditionalFormatting sqref="B52">
    <cfRule type="expression" dxfId="5096" priority="94">
      <formula>B$9&gt;=20/24</formula>
    </cfRule>
    <cfRule type="expression" dxfId="5095" priority="95">
      <formula>AND(B$9&gt;=14/24,B$9&lt;20/24)</formula>
    </cfRule>
    <cfRule type="expression" dxfId="5094" priority="96">
      <formula>AND(B$9&gt;=8/24,B$9&lt;14/24)</formula>
    </cfRule>
    <cfRule type="expression" dxfId="5093" priority="97">
      <formula>B$9&lt;8/24</formula>
    </cfRule>
  </conditionalFormatting>
  <conditionalFormatting sqref="B52">
    <cfRule type="expression" dxfId="5092" priority="93">
      <formula>B52&gt;$AG52</formula>
    </cfRule>
  </conditionalFormatting>
  <conditionalFormatting sqref="B59:X64">
    <cfRule type="expression" dxfId="5091" priority="85">
      <formula>B$9&gt;=20/24</formula>
    </cfRule>
    <cfRule type="expression" dxfId="5090" priority="86">
      <formula>AND(B$9&gt;=14/24,B$9&lt;20/24)</formula>
    </cfRule>
    <cfRule type="expression" dxfId="5089" priority="87">
      <formula>AND(B$9&gt;=8/24,B$9&lt;14/24)</formula>
    </cfRule>
    <cfRule type="expression" dxfId="5088" priority="88">
      <formula>B$9&lt;8/24</formula>
    </cfRule>
  </conditionalFormatting>
  <conditionalFormatting sqref="B59:X64">
    <cfRule type="expression" dxfId="5087" priority="84">
      <formula>B59&gt;$AG59</formula>
    </cfRule>
  </conditionalFormatting>
  <conditionalFormatting sqref="B77:X81">
    <cfRule type="expression" dxfId="5086" priority="80">
      <formula>B$9&gt;=20/24</formula>
    </cfRule>
    <cfRule type="expression" dxfId="5085" priority="81">
      <formula>AND(B$9&gt;=14/24,B$9&lt;20/24)</formula>
    </cfRule>
    <cfRule type="expression" dxfId="5084" priority="82">
      <formula>AND(B$9&gt;=8/24,B$9&lt;14/24)</formula>
    </cfRule>
    <cfRule type="expression" dxfId="5083" priority="83">
      <formula>B$9&lt;8/24</formula>
    </cfRule>
  </conditionalFormatting>
  <conditionalFormatting sqref="Y11:AF11">
    <cfRule type="expression" dxfId="5082" priority="76">
      <formula>Y$9&gt;=20/24</formula>
    </cfRule>
    <cfRule type="expression" dxfId="5081" priority="77">
      <formula>AND(Y$9&gt;=14/24,Y$9&lt;20/24)</formula>
    </cfRule>
    <cfRule type="expression" dxfId="5080" priority="78">
      <formula>AND(Y$9&gt;=8/24,Y$9&lt;14/24)</formula>
    </cfRule>
    <cfRule type="expression" dxfId="5079" priority="79">
      <formula>Y$9&lt;8/24</formula>
    </cfRule>
  </conditionalFormatting>
  <conditionalFormatting sqref="Y11:AF11">
    <cfRule type="expression" dxfId="5078" priority="75">
      <formula>Y11&gt;$AG11</formula>
    </cfRule>
  </conditionalFormatting>
  <conditionalFormatting sqref="A11">
    <cfRule type="expression" dxfId="5077" priority="74">
      <formula>$AH11=0</formula>
    </cfRule>
  </conditionalFormatting>
  <conditionalFormatting sqref="B11:X11">
    <cfRule type="expression" dxfId="5076" priority="65">
      <formula>B$9&gt;=20/24</formula>
    </cfRule>
    <cfRule type="expression" dxfId="5075" priority="66">
      <formula>AND(B$9&gt;=14/24,B$9&lt;20/24)</formula>
    </cfRule>
    <cfRule type="expression" dxfId="5074" priority="67">
      <formula>AND(B$9&gt;=8/24,B$9&lt;14/24)</formula>
    </cfRule>
    <cfRule type="expression" dxfId="5073" priority="68">
      <formula>B$9&lt;8/24</formula>
    </cfRule>
  </conditionalFormatting>
  <conditionalFormatting sqref="B11:X11">
    <cfRule type="expression" dxfId="5072" priority="64">
      <formula>B11&gt;$AG11</formula>
    </cfRule>
  </conditionalFormatting>
  <conditionalFormatting sqref="Y16:AF16">
    <cfRule type="expression" dxfId="5071" priority="59">
      <formula>Y$9&gt;=20/24</formula>
    </cfRule>
    <cfRule type="expression" dxfId="5070" priority="60">
      <formula>AND(Y$9&gt;=14/24,Y$9&lt;20/24)</formula>
    </cfRule>
    <cfRule type="expression" dxfId="5069" priority="61">
      <formula>AND(Y$9&gt;=8/24,Y$9&lt;14/24)</formula>
    </cfRule>
    <cfRule type="expression" dxfId="5068" priority="62">
      <formula>Y$9&lt;8/24</formula>
    </cfRule>
  </conditionalFormatting>
  <conditionalFormatting sqref="Y16:AF16">
    <cfRule type="expression" dxfId="5067" priority="58">
      <formula>Y16&gt;$AG16</formula>
    </cfRule>
  </conditionalFormatting>
  <conditionalFormatting sqref="A16">
    <cfRule type="expression" dxfId="5066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6:X16">
    <cfRule type="expression" dxfId="5065" priority="48">
      <formula>B$9&gt;=20/24</formula>
    </cfRule>
    <cfRule type="expression" dxfId="5064" priority="49">
      <formula>AND(B$9&gt;=14/24,B$9&lt;20/24)</formula>
    </cfRule>
    <cfRule type="expression" dxfId="5063" priority="50">
      <formula>AND(B$9&gt;=8/24,B$9&lt;14/24)</formula>
    </cfRule>
    <cfRule type="expression" dxfId="5062" priority="51">
      <formula>B$9&lt;8/24</formula>
    </cfRule>
  </conditionalFormatting>
  <conditionalFormatting sqref="B16:X16">
    <cfRule type="expression" dxfId="5061" priority="47">
      <formula>B16&gt;$AG16</formula>
    </cfRule>
  </conditionalFormatting>
  <conditionalFormatting sqref="Y33:AF33">
    <cfRule type="expression" dxfId="5060" priority="42">
      <formula>Y$9&gt;=20/24</formula>
    </cfRule>
    <cfRule type="expression" dxfId="5059" priority="43">
      <formula>AND(Y$9&gt;=14/24,Y$9&lt;20/24)</formula>
    </cfRule>
    <cfRule type="expression" dxfId="5058" priority="44">
      <formula>AND(Y$9&gt;=8/24,Y$9&lt;14/24)</formula>
    </cfRule>
    <cfRule type="expression" dxfId="5057" priority="45">
      <formula>Y$9&lt;8/24</formula>
    </cfRule>
  </conditionalFormatting>
  <conditionalFormatting sqref="Y33:AF33">
    <cfRule type="expression" dxfId="5056" priority="41">
      <formula>Y33&gt;$AG33</formula>
    </cfRule>
  </conditionalFormatting>
  <conditionalFormatting sqref="A33">
    <cfRule type="expression" dxfId="5055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5054" priority="31">
      <formula>B$9&gt;=20/24</formula>
    </cfRule>
    <cfRule type="expression" dxfId="5053" priority="32">
      <formula>AND(B$9&gt;=14/24,B$9&lt;20/24)</formula>
    </cfRule>
    <cfRule type="expression" dxfId="5052" priority="33">
      <formula>AND(B$9&gt;=8/24,B$9&lt;14/24)</formula>
    </cfRule>
    <cfRule type="expression" dxfId="5051" priority="34">
      <formula>B$9&lt;8/24</formula>
    </cfRule>
  </conditionalFormatting>
  <conditionalFormatting sqref="B33:X33">
    <cfRule type="expression" dxfId="5050" priority="30">
      <formula>B33&gt;$AG33</formula>
    </cfRule>
  </conditionalFormatting>
  <conditionalFormatting sqref="Y44:AF44">
    <cfRule type="expression" dxfId="5049" priority="25">
      <formula>Y$9&gt;=20/24</formula>
    </cfRule>
    <cfRule type="expression" dxfId="5048" priority="26">
      <formula>AND(Y$9&gt;=14/24,Y$9&lt;20/24)</formula>
    </cfRule>
    <cfRule type="expression" dxfId="5047" priority="27">
      <formula>AND(Y$9&gt;=8/24,Y$9&lt;14/24)</formula>
    </cfRule>
    <cfRule type="expression" dxfId="5046" priority="28">
      <formula>Y$9&lt;8/24</formula>
    </cfRule>
  </conditionalFormatting>
  <conditionalFormatting sqref="Y44:AF44">
    <cfRule type="expression" dxfId="5045" priority="24">
      <formula>Y44&gt;$AG44</formula>
    </cfRule>
  </conditionalFormatting>
  <conditionalFormatting sqref="A44">
    <cfRule type="expression" dxfId="5044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5043" priority="14">
      <formula>B$9&gt;=20/24</formula>
    </cfRule>
    <cfRule type="expression" dxfId="5042" priority="15">
      <formula>AND(B$9&gt;=14/24,B$9&lt;20/24)</formula>
    </cfRule>
    <cfRule type="expression" dxfId="5041" priority="16">
      <formula>AND(B$9&gt;=8/24,B$9&lt;14/24)</formula>
    </cfRule>
    <cfRule type="expression" dxfId="5040" priority="17">
      <formula>B$9&lt;8/24</formula>
    </cfRule>
  </conditionalFormatting>
  <conditionalFormatting sqref="B44:X44">
    <cfRule type="expression" dxfId="5039" priority="13">
      <formula>B44&gt;$AG44</formula>
    </cfRule>
  </conditionalFormatting>
  <conditionalFormatting sqref="B117:C117">
    <cfRule type="expression" dxfId="5038" priority="1">
      <formula>B$9&gt;=20/24</formula>
    </cfRule>
    <cfRule type="expression" dxfId="5037" priority="2">
      <formula>AND(B$9&gt;=14/24,B$9&lt;20/24)</formula>
    </cfRule>
    <cfRule type="expression" dxfId="5036" priority="3">
      <formula>AND(B$9&gt;=8/24,B$9&lt;14/24)</formula>
    </cfRule>
    <cfRule type="expression" dxfId="5035" priority="4">
      <formula>B$9&lt;8/24</formula>
    </cfRule>
  </conditionalFormatting>
  <conditionalFormatting sqref="D117:AF117">
    <cfRule type="expression" dxfId="5034" priority="9">
      <formula>D$9&gt;=20/24</formula>
    </cfRule>
    <cfRule type="expression" dxfId="5033" priority="10">
      <formula>AND(D$9&gt;=14/24,D$9&lt;20/24)</formula>
    </cfRule>
    <cfRule type="expression" dxfId="5032" priority="11">
      <formula>AND(D$9&gt;=8/24,D$9&lt;14/24)</formula>
    </cfRule>
    <cfRule type="expression" dxfId="5031" priority="12">
      <formula>D$9&lt;8/24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F03BE5FB-4D50-4AF3-9649-406D94CD649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030A52E8-92C2-49FA-86BA-5ECFBEED304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B9E4AAB9-D00C-4B5E-86FB-C4CD421560E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204DD9CD-75D4-4939-BE51-32694C847C6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22FBB61D-CD9E-4E3C-9EA6-C60DD8BB0B9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BD9C7015-70DE-4F61-B83F-F9DF02E7749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11CDB8B6-BBC7-4A3E-8EE5-ED1AC63B400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303EBF54-EC69-49B6-A95D-383EE95A211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8"/>
  <sheetViews>
    <sheetView zoomScaleNormal="100" workbookViewId="0">
      <pane ySplit="10" topLeftCell="A56" activePane="bottomLeft" state="frozen"/>
      <selection activeCell="Z85" sqref="Z85"/>
      <selection pane="bottomLeft" activeCell="Y116" sqref="Y1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2079/11/21</v>
      </c>
      <c r="C4" s="208"/>
      <c r="D4" s="208"/>
      <c r="E4" s="209" t="str">
        <f ca="1">"2079/"&amp;"11/"&amp;INT(MID(CELL("filename",G6),FIND("]",CELL("filename",G6))+1,200))</f>
        <v>2079/11/21</v>
      </c>
      <c r="F4" s="209"/>
      <c r="G4" s="209"/>
      <c r="H4" s="209" t="str">
        <f ca="1">TEXT(E4,"dddd")</f>
        <v>Tuesday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423</v>
      </c>
      <c r="C5" s="30">
        <f t="shared" si="0"/>
        <v>425</v>
      </c>
      <c r="D5" s="30">
        <f t="shared" si="0"/>
        <v>415.3</v>
      </c>
      <c r="E5" s="30">
        <f t="shared" si="0"/>
        <v>415.5</v>
      </c>
      <c r="F5" s="30">
        <f t="shared" si="0"/>
        <v>447.8</v>
      </c>
      <c r="G5" s="30">
        <f t="shared" si="0"/>
        <v>450</v>
      </c>
      <c r="H5" s="30">
        <f t="shared" si="0"/>
        <v>454</v>
      </c>
      <c r="I5" s="30">
        <f t="shared" si="0"/>
        <v>476</v>
      </c>
      <c r="J5" s="30">
        <f t="shared" si="0"/>
        <v>484.9</v>
      </c>
      <c r="K5" s="30">
        <f t="shared" si="0"/>
        <v>558.4</v>
      </c>
      <c r="L5" s="30">
        <f t="shared" si="0"/>
        <v>546.6</v>
      </c>
      <c r="M5" s="30">
        <f t="shared" si="0"/>
        <v>546.6</v>
      </c>
      <c r="N5" s="30">
        <f t="shared" si="0"/>
        <v>542</v>
      </c>
      <c r="O5" s="30">
        <f t="shared" si="0"/>
        <v>546.5</v>
      </c>
      <c r="P5" s="30">
        <f t="shared" si="0"/>
        <v>573.5</v>
      </c>
      <c r="Q5" s="30">
        <f t="shared" si="0"/>
        <v>546</v>
      </c>
      <c r="R5" s="30">
        <f t="shared" si="0"/>
        <v>550.5</v>
      </c>
      <c r="S5" s="30">
        <f t="shared" si="0"/>
        <v>553.4</v>
      </c>
      <c r="T5" s="30">
        <f t="shared" si="0"/>
        <v>553.70000000000005</v>
      </c>
      <c r="U5" s="30">
        <f t="shared" si="0"/>
        <v>543.5</v>
      </c>
      <c r="V5" s="30">
        <f t="shared" si="0"/>
        <v>517</v>
      </c>
      <c r="W5" s="30">
        <f t="shared" si="0"/>
        <v>541</v>
      </c>
      <c r="X5" s="30">
        <f t="shared" si="0"/>
        <v>573.29999999999995</v>
      </c>
      <c r="Y5" s="30">
        <f t="shared" si="0"/>
        <v>552.70000000000005</v>
      </c>
      <c r="Z5" s="30">
        <f t="shared" si="0"/>
        <v>559.4</v>
      </c>
      <c r="AA5" s="30">
        <f t="shared" si="0"/>
        <v>561</v>
      </c>
      <c r="AB5" s="30">
        <f t="shared" si="0"/>
        <v>542</v>
      </c>
      <c r="AC5" s="30">
        <f t="shared" si="0"/>
        <v>560</v>
      </c>
      <c r="AD5" s="30">
        <f t="shared" si="0"/>
        <v>551</v>
      </c>
      <c r="AE5" s="30">
        <f t="shared" si="0"/>
        <v>534</v>
      </c>
      <c r="AF5" s="30">
        <f>B82</f>
        <v>442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1482MW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Load=1023</v>
      </c>
      <c r="B7" s="35">
        <f t="shared" ref="B7:AF7" si="1">B89</f>
        <v>1036.94</v>
      </c>
      <c r="C7" s="35">
        <f t="shared" si="1"/>
        <v>1042.94</v>
      </c>
      <c r="D7" s="35">
        <f t="shared" si="1"/>
        <v>1054.94</v>
      </c>
      <c r="E7" s="35">
        <f t="shared" si="1"/>
        <v>1036.04</v>
      </c>
      <c r="F7" s="35">
        <f t="shared" si="1"/>
        <v>1022.54</v>
      </c>
      <c r="G7" s="35">
        <f t="shared" si="1"/>
        <v>1087.24</v>
      </c>
      <c r="H7" s="35">
        <f t="shared" si="1"/>
        <v>1201.8399999999999</v>
      </c>
      <c r="I7" s="35">
        <f t="shared" si="1"/>
        <v>1206.24</v>
      </c>
      <c r="J7" s="35">
        <f t="shared" si="1"/>
        <v>1242.24</v>
      </c>
      <c r="K7" s="35">
        <f t="shared" si="1"/>
        <v>1271.94</v>
      </c>
      <c r="L7" s="35">
        <f t="shared" si="1"/>
        <v>1409.54</v>
      </c>
      <c r="M7" s="35">
        <f t="shared" si="1"/>
        <v>1481.84</v>
      </c>
      <c r="N7" s="35">
        <f>N89</f>
        <v>1453.7399999999998</v>
      </c>
      <c r="O7" s="35">
        <f t="shared" si="1"/>
        <v>1365.24</v>
      </c>
      <c r="P7" s="35">
        <f t="shared" si="1"/>
        <v>1382.04</v>
      </c>
      <c r="Q7" s="35">
        <f t="shared" si="1"/>
        <v>1363.84</v>
      </c>
      <c r="R7" s="35">
        <f t="shared" si="1"/>
        <v>1306.8399999999999</v>
      </c>
      <c r="S7" s="35">
        <f t="shared" si="1"/>
        <v>1334.24</v>
      </c>
      <c r="T7" s="35">
        <f t="shared" si="1"/>
        <v>1338.2399999999998</v>
      </c>
      <c r="U7" s="35">
        <f t="shared" si="1"/>
        <v>1338.54</v>
      </c>
      <c r="V7" s="35">
        <f t="shared" si="1"/>
        <v>1375.1399999999999</v>
      </c>
      <c r="W7" s="35">
        <f t="shared" si="1"/>
        <v>1340.24</v>
      </c>
      <c r="X7" s="35">
        <f t="shared" si="1"/>
        <v>1374.6399999999999</v>
      </c>
      <c r="Y7" s="35">
        <f t="shared" si="1"/>
        <v>1559.44</v>
      </c>
      <c r="Z7" s="35">
        <f t="shared" si="1"/>
        <v>1542.3400000000001</v>
      </c>
      <c r="AA7" s="35">
        <f t="shared" si="1"/>
        <v>1507.6399999999999</v>
      </c>
      <c r="AB7" s="35">
        <f t="shared" si="1"/>
        <v>1399.34</v>
      </c>
      <c r="AC7" s="35">
        <f t="shared" si="1"/>
        <v>1298.74</v>
      </c>
      <c r="AD7" s="35">
        <f t="shared" si="1"/>
        <v>1291.74</v>
      </c>
      <c r="AE7" s="35">
        <f t="shared" si="1"/>
        <v>1155.7399999999998</v>
      </c>
      <c r="AF7" s="35">
        <f t="shared" si="1"/>
        <v>1060.74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17.2</v>
      </c>
      <c r="C12" s="45">
        <v>17.2</v>
      </c>
      <c r="D12" s="45">
        <v>17.2</v>
      </c>
      <c r="E12" s="45">
        <v>16.600000000000001</v>
      </c>
      <c r="F12" s="45">
        <v>16.5</v>
      </c>
      <c r="G12" s="45">
        <v>15</v>
      </c>
      <c r="H12" s="45">
        <v>11.6</v>
      </c>
      <c r="I12" s="45">
        <v>11.6</v>
      </c>
      <c r="J12" s="45">
        <v>11.6</v>
      </c>
      <c r="K12" s="45">
        <v>11.6</v>
      </c>
      <c r="L12" s="45">
        <v>11.6</v>
      </c>
      <c r="M12" s="45">
        <v>11.6</v>
      </c>
      <c r="N12" s="45">
        <v>11.6</v>
      </c>
      <c r="O12" s="45">
        <v>11.6</v>
      </c>
      <c r="P12" s="45">
        <v>11.6</v>
      </c>
      <c r="Q12" s="45">
        <v>11.6</v>
      </c>
      <c r="R12" s="45">
        <v>11.6</v>
      </c>
      <c r="S12" s="45">
        <v>11.6</v>
      </c>
      <c r="T12" s="45">
        <v>11.6</v>
      </c>
      <c r="U12" s="45">
        <v>11.6</v>
      </c>
      <c r="V12" s="45">
        <v>11.6</v>
      </c>
      <c r="W12" s="45">
        <v>11.6</v>
      </c>
      <c r="X12" s="45">
        <v>11.6</v>
      </c>
      <c r="Y12" s="45">
        <v>11.6</v>
      </c>
      <c r="Z12" s="45">
        <v>11.6</v>
      </c>
      <c r="AA12" s="45">
        <v>11.6</v>
      </c>
      <c r="AB12" s="45">
        <v>11.6</v>
      </c>
      <c r="AC12" s="45">
        <v>13.1</v>
      </c>
      <c r="AD12" s="45">
        <v>13.1</v>
      </c>
      <c r="AE12" s="45">
        <v>13.1</v>
      </c>
      <c r="AF12" s="45">
        <v>13.1</v>
      </c>
      <c r="AG12" s="46">
        <v>52.4</v>
      </c>
      <c r="AH12" s="47">
        <f t="shared" si="2"/>
        <v>17.2</v>
      </c>
      <c r="AI12" s="48">
        <f t="shared" si="3"/>
        <v>11.6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32.700000000000003</v>
      </c>
      <c r="C13" s="45">
        <v>32.700000000000003</v>
      </c>
      <c r="D13" s="45">
        <v>32.700000000000003</v>
      </c>
      <c r="E13" s="45">
        <v>30.9</v>
      </c>
      <c r="F13" s="45">
        <v>30.8</v>
      </c>
      <c r="G13" s="45">
        <v>32.1</v>
      </c>
      <c r="H13" s="45">
        <v>31.7</v>
      </c>
      <c r="I13" s="45">
        <v>31.7</v>
      </c>
      <c r="J13" s="45">
        <v>31.7</v>
      </c>
      <c r="K13" s="45">
        <v>31.7</v>
      </c>
      <c r="L13" s="45">
        <v>31.7</v>
      </c>
      <c r="M13" s="45">
        <v>31.7</v>
      </c>
      <c r="N13" s="45">
        <v>31.7</v>
      </c>
      <c r="O13" s="45">
        <v>31.7</v>
      </c>
      <c r="P13" s="45">
        <v>31.7</v>
      </c>
      <c r="Q13" s="45">
        <v>31.7</v>
      </c>
      <c r="R13" s="45">
        <v>31.7</v>
      </c>
      <c r="S13" s="45">
        <v>31.7</v>
      </c>
      <c r="T13" s="45">
        <v>31.7</v>
      </c>
      <c r="U13" s="45">
        <v>31.7</v>
      </c>
      <c r="V13" s="45">
        <v>31.7</v>
      </c>
      <c r="W13" s="45">
        <v>31.7</v>
      </c>
      <c r="X13" s="45">
        <v>31.7</v>
      </c>
      <c r="Y13" s="45">
        <v>31.7</v>
      </c>
      <c r="Z13" s="45">
        <v>31.7</v>
      </c>
      <c r="AA13" s="45">
        <v>31.7</v>
      </c>
      <c r="AB13" s="45">
        <v>31.7</v>
      </c>
      <c r="AC13" s="45">
        <v>31.7</v>
      </c>
      <c r="AD13" s="45">
        <v>31.7</v>
      </c>
      <c r="AE13" s="45">
        <v>31.7</v>
      </c>
      <c r="AF13" s="45">
        <v>31.7</v>
      </c>
      <c r="AG13" s="50">
        <v>50</v>
      </c>
      <c r="AH13" s="47">
        <f t="shared" si="2"/>
        <v>32.700000000000003</v>
      </c>
      <c r="AI13" s="48">
        <f t="shared" si="3"/>
        <v>30.8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</v>
      </c>
      <c r="C14" s="45">
        <v>19</v>
      </c>
      <c r="D14" s="45">
        <v>19</v>
      </c>
      <c r="E14" s="45">
        <v>19.2</v>
      </c>
      <c r="F14" s="45">
        <v>15.5</v>
      </c>
      <c r="G14" s="45">
        <v>18.7</v>
      </c>
      <c r="H14" s="45">
        <v>16.2</v>
      </c>
      <c r="I14" s="45">
        <v>16.2</v>
      </c>
      <c r="J14" s="45">
        <v>16.2</v>
      </c>
      <c r="K14" s="45">
        <v>16.2</v>
      </c>
      <c r="L14" s="45">
        <v>16.2</v>
      </c>
      <c r="M14" s="45">
        <v>16.2</v>
      </c>
      <c r="N14" s="45">
        <v>16.2</v>
      </c>
      <c r="O14" s="45">
        <v>16.2</v>
      </c>
      <c r="P14" s="45">
        <v>16.2</v>
      </c>
      <c r="Q14" s="45">
        <v>16.2</v>
      </c>
      <c r="R14" s="45">
        <v>16.2</v>
      </c>
      <c r="S14" s="45">
        <v>16.2</v>
      </c>
      <c r="T14" s="45">
        <v>16.2</v>
      </c>
      <c r="U14" s="45">
        <v>16.2</v>
      </c>
      <c r="V14" s="45">
        <v>16.2</v>
      </c>
      <c r="W14" s="45">
        <v>16.2</v>
      </c>
      <c r="X14" s="45">
        <v>16.2</v>
      </c>
      <c r="Y14" s="45">
        <v>16.2</v>
      </c>
      <c r="Z14" s="45">
        <v>16.2</v>
      </c>
      <c r="AA14" s="45">
        <v>16.2</v>
      </c>
      <c r="AB14" s="45">
        <v>16.2</v>
      </c>
      <c r="AC14" s="45">
        <v>16.2</v>
      </c>
      <c r="AD14" s="45">
        <v>16.2</v>
      </c>
      <c r="AE14" s="45">
        <v>16.2</v>
      </c>
      <c r="AF14" s="45">
        <v>16.2</v>
      </c>
      <c r="AG14" s="50">
        <v>45</v>
      </c>
      <c r="AH14" s="47">
        <f t="shared" si="2"/>
        <v>19.2</v>
      </c>
      <c r="AI14" s="48">
        <f t="shared" si="3"/>
        <v>15.5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12.6</v>
      </c>
      <c r="I17" s="45">
        <v>12.6</v>
      </c>
      <c r="J17" s="45">
        <v>12.6</v>
      </c>
      <c r="K17" s="45">
        <v>12.6</v>
      </c>
      <c r="L17" s="45">
        <v>12.6</v>
      </c>
      <c r="M17" s="45">
        <v>12.6</v>
      </c>
      <c r="N17" s="45">
        <v>12.6</v>
      </c>
      <c r="O17" s="45">
        <v>12.6</v>
      </c>
      <c r="P17" s="45">
        <v>12.6</v>
      </c>
      <c r="Q17" s="45">
        <v>12.6</v>
      </c>
      <c r="R17" s="45">
        <v>12.6</v>
      </c>
      <c r="S17" s="45">
        <v>12.6</v>
      </c>
      <c r="T17" s="45">
        <v>12.6</v>
      </c>
      <c r="U17" s="45">
        <v>12.6</v>
      </c>
      <c r="V17" s="45">
        <v>12.6</v>
      </c>
      <c r="W17" s="45">
        <v>12.6</v>
      </c>
      <c r="X17" s="45">
        <v>12.6</v>
      </c>
      <c r="Y17" s="45">
        <v>12.6</v>
      </c>
      <c r="Z17" s="45">
        <v>12.6</v>
      </c>
      <c r="AA17" s="45">
        <v>12.6</v>
      </c>
      <c r="AB17" s="45">
        <v>12.6</v>
      </c>
      <c r="AC17" s="45">
        <v>12.6</v>
      </c>
      <c r="AD17" s="45">
        <v>12.6</v>
      </c>
      <c r="AE17" s="45">
        <v>12.6</v>
      </c>
      <c r="AF17" s="45">
        <v>12.6</v>
      </c>
      <c r="AG17" s="50">
        <v>36</v>
      </c>
      <c r="AH17" s="47">
        <f t="shared" si="2"/>
        <v>12.6</v>
      </c>
      <c r="AI17" s="48">
        <f t="shared" si="3"/>
        <v>12.5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8.3000000000000007</v>
      </c>
      <c r="C18" s="45">
        <v>8.3000000000000007</v>
      </c>
      <c r="D18" s="45">
        <v>8.3000000000000007</v>
      </c>
      <c r="E18" s="45">
        <v>8.3000000000000007</v>
      </c>
      <c r="F18" s="45">
        <v>8.3000000000000007</v>
      </c>
      <c r="G18" s="45">
        <v>8.3000000000000007</v>
      </c>
      <c r="H18" s="45">
        <v>8.3000000000000007</v>
      </c>
      <c r="I18" s="45">
        <v>8.3000000000000007</v>
      </c>
      <c r="J18" s="45">
        <v>8.3000000000000007</v>
      </c>
      <c r="K18" s="45">
        <v>8.3000000000000007</v>
      </c>
      <c r="L18" s="45">
        <v>8.3000000000000007</v>
      </c>
      <c r="M18" s="45">
        <v>8.3000000000000007</v>
      </c>
      <c r="N18" s="45">
        <v>8.3000000000000007</v>
      </c>
      <c r="O18" s="45">
        <v>8.3000000000000007</v>
      </c>
      <c r="P18" s="45">
        <v>8.3000000000000007</v>
      </c>
      <c r="Q18" s="45">
        <v>8.3000000000000007</v>
      </c>
      <c r="R18" s="45">
        <v>8.3000000000000007</v>
      </c>
      <c r="S18" s="45">
        <v>8.3000000000000007</v>
      </c>
      <c r="T18" s="45">
        <v>8.3000000000000007</v>
      </c>
      <c r="U18" s="45">
        <v>8.3000000000000007</v>
      </c>
      <c r="V18" s="45">
        <v>8.3000000000000007</v>
      </c>
      <c r="W18" s="45">
        <v>8.3000000000000007</v>
      </c>
      <c r="X18" s="45">
        <v>8.3000000000000007</v>
      </c>
      <c r="Y18" s="45">
        <v>8.3000000000000007</v>
      </c>
      <c r="Z18" s="45">
        <v>8.3000000000000007</v>
      </c>
      <c r="AA18" s="45">
        <v>8.3000000000000007</v>
      </c>
      <c r="AB18" s="45">
        <v>8.3000000000000007</v>
      </c>
      <c r="AC18" s="45">
        <v>8.3000000000000007</v>
      </c>
      <c r="AD18" s="45">
        <v>8.3000000000000007</v>
      </c>
      <c r="AE18" s="45">
        <v>8.3000000000000007</v>
      </c>
      <c r="AF18" s="45">
        <v>8.3000000000000007</v>
      </c>
      <c r="AG18" s="51">
        <v>30</v>
      </c>
      <c r="AH18" s="47">
        <f t="shared" si="2"/>
        <v>8.3000000000000007</v>
      </c>
      <c r="AI18" s="48">
        <f t="shared" si="3"/>
        <v>8.3000000000000007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7</v>
      </c>
      <c r="C19" s="45">
        <v>7</v>
      </c>
      <c r="D19" s="45">
        <v>7</v>
      </c>
      <c r="E19" s="45">
        <v>7</v>
      </c>
      <c r="F19" s="45">
        <v>7</v>
      </c>
      <c r="G19" s="45">
        <v>7</v>
      </c>
      <c r="H19" s="45">
        <v>7</v>
      </c>
      <c r="I19" s="45">
        <v>7</v>
      </c>
      <c r="J19" s="45">
        <v>7</v>
      </c>
      <c r="K19" s="45">
        <v>7</v>
      </c>
      <c r="L19" s="45">
        <v>7</v>
      </c>
      <c r="M19" s="45">
        <v>7</v>
      </c>
      <c r="N19" s="45">
        <v>7</v>
      </c>
      <c r="O19" s="45">
        <v>7</v>
      </c>
      <c r="P19" s="45">
        <v>7</v>
      </c>
      <c r="Q19" s="45">
        <v>7</v>
      </c>
      <c r="R19" s="45">
        <v>7</v>
      </c>
      <c r="S19" s="45">
        <v>7</v>
      </c>
      <c r="T19" s="45">
        <v>7</v>
      </c>
      <c r="U19" s="45">
        <v>7</v>
      </c>
      <c r="V19" s="45">
        <v>7</v>
      </c>
      <c r="W19" s="45">
        <v>7</v>
      </c>
      <c r="X19" s="45">
        <v>7</v>
      </c>
      <c r="Y19" s="45">
        <v>7</v>
      </c>
      <c r="Z19" s="45">
        <v>7</v>
      </c>
      <c r="AA19" s="45">
        <v>7</v>
      </c>
      <c r="AB19" s="45">
        <v>7</v>
      </c>
      <c r="AC19" s="45">
        <v>7</v>
      </c>
      <c r="AD19" s="45">
        <v>7</v>
      </c>
      <c r="AE19" s="45">
        <v>7</v>
      </c>
      <c r="AF19" s="45">
        <v>7</v>
      </c>
      <c r="AG19" s="50">
        <v>24.2</v>
      </c>
      <c r="AH19" s="47">
        <f t="shared" si="2"/>
        <v>7</v>
      </c>
      <c r="AI19" s="48">
        <f t="shared" si="3"/>
        <v>7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13.2</v>
      </c>
      <c r="C22" s="45">
        <v>13.2</v>
      </c>
      <c r="D22" s="45">
        <v>13.2</v>
      </c>
      <c r="E22" s="45">
        <v>13.2</v>
      </c>
      <c r="F22" s="45">
        <v>13.2</v>
      </c>
      <c r="G22" s="45">
        <v>13.2</v>
      </c>
      <c r="H22" s="45">
        <v>13.2</v>
      </c>
      <c r="I22" s="45">
        <v>13.2</v>
      </c>
      <c r="J22" s="45">
        <v>13.2</v>
      </c>
      <c r="K22" s="45">
        <v>13.2</v>
      </c>
      <c r="L22" s="45">
        <v>13.2</v>
      </c>
      <c r="M22" s="45">
        <v>13.2</v>
      </c>
      <c r="N22" s="45">
        <v>13.2</v>
      </c>
      <c r="O22" s="45">
        <v>13.2</v>
      </c>
      <c r="P22" s="45">
        <v>13.2</v>
      </c>
      <c r="Q22" s="45">
        <v>13.2</v>
      </c>
      <c r="R22" s="45">
        <v>13.2</v>
      </c>
      <c r="S22" s="45">
        <v>13.2</v>
      </c>
      <c r="T22" s="45">
        <v>13.2</v>
      </c>
      <c r="U22" s="45">
        <v>13.2</v>
      </c>
      <c r="V22" s="45">
        <v>13.2</v>
      </c>
      <c r="W22" s="45">
        <v>13.2</v>
      </c>
      <c r="X22" s="45">
        <v>13.2</v>
      </c>
      <c r="Y22" s="45">
        <v>13.2</v>
      </c>
      <c r="Z22" s="45">
        <v>13.2</v>
      </c>
      <c r="AA22" s="45">
        <v>13.2</v>
      </c>
      <c r="AB22" s="45">
        <v>13.2</v>
      </c>
      <c r="AC22" s="45">
        <v>13.2</v>
      </c>
      <c r="AD22" s="45">
        <v>13.2</v>
      </c>
      <c r="AE22" s="45">
        <v>13.2</v>
      </c>
      <c r="AF22" s="45">
        <v>13.2</v>
      </c>
      <c r="AG22" s="50">
        <v>25</v>
      </c>
      <c r="AH22" s="47">
        <f t="shared" si="2"/>
        <v>13.2</v>
      </c>
      <c r="AI22" s="48">
        <f t="shared" si="3"/>
        <v>13.2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6.2</v>
      </c>
      <c r="C26" s="45">
        <v>6.2</v>
      </c>
      <c r="D26" s="45">
        <v>6.2</v>
      </c>
      <c r="E26" s="45">
        <v>6.2</v>
      </c>
      <c r="F26" s="45">
        <v>6.2</v>
      </c>
      <c r="G26" s="45">
        <v>6.2</v>
      </c>
      <c r="H26" s="45">
        <v>6.2</v>
      </c>
      <c r="I26" s="45">
        <v>6.2</v>
      </c>
      <c r="J26" s="45">
        <v>6.2</v>
      </c>
      <c r="K26" s="45">
        <v>6.2</v>
      </c>
      <c r="L26" s="45">
        <v>6.2</v>
      </c>
      <c r="M26" s="45">
        <v>6.2</v>
      </c>
      <c r="N26" s="45">
        <v>6.2</v>
      </c>
      <c r="O26" s="45">
        <v>6.2</v>
      </c>
      <c r="P26" s="45">
        <v>6.2</v>
      </c>
      <c r="Q26" s="45">
        <v>6.2</v>
      </c>
      <c r="R26" s="45">
        <v>6.2</v>
      </c>
      <c r="S26" s="45">
        <v>6.2</v>
      </c>
      <c r="T26" s="45">
        <v>6.2</v>
      </c>
      <c r="U26" s="45">
        <v>6.2</v>
      </c>
      <c r="V26" s="45">
        <v>6.2</v>
      </c>
      <c r="W26" s="45">
        <v>6.2</v>
      </c>
      <c r="X26" s="45">
        <v>6.2</v>
      </c>
      <c r="Y26" s="45">
        <v>6.2</v>
      </c>
      <c r="Z26" s="45">
        <v>6.2</v>
      </c>
      <c r="AA26" s="45">
        <v>6.2</v>
      </c>
      <c r="AB26" s="45">
        <v>6.2</v>
      </c>
      <c r="AC26" s="45">
        <v>6.2</v>
      </c>
      <c r="AD26" s="45">
        <v>6.2</v>
      </c>
      <c r="AE26" s="45">
        <v>6.2</v>
      </c>
      <c r="AF26" s="45">
        <v>6.2</v>
      </c>
      <c r="AG26" s="50">
        <v>23.5</v>
      </c>
      <c r="AH26" s="47">
        <f t="shared" si="2"/>
        <v>6.2</v>
      </c>
      <c r="AI26" s="48">
        <f t="shared" si="3"/>
        <v>6.2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50">
        <v>22</v>
      </c>
      <c r="AH30" s="47">
        <f t="shared" si="2"/>
        <v>7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376.09999999999997</v>
      </c>
      <c r="C48" s="60">
        <f t="shared" si="4"/>
        <v>376.09999999999997</v>
      </c>
      <c r="D48" s="60">
        <f t="shared" si="4"/>
        <v>376.09999999999997</v>
      </c>
      <c r="E48" s="60">
        <f t="shared" si="4"/>
        <v>373.9</v>
      </c>
      <c r="F48" s="60">
        <f t="shared" si="4"/>
        <v>370</v>
      </c>
      <c r="G48" s="60">
        <f t="shared" si="4"/>
        <v>373</v>
      </c>
      <c r="H48" s="60">
        <f t="shared" si="4"/>
        <v>366.79999999999995</v>
      </c>
      <c r="I48" s="60">
        <f t="shared" si="4"/>
        <v>366.79999999999995</v>
      </c>
      <c r="J48" s="60">
        <f t="shared" si="4"/>
        <v>366.79999999999995</v>
      </c>
      <c r="K48" s="60">
        <f t="shared" si="4"/>
        <v>366.79999999999995</v>
      </c>
      <c r="L48" s="60">
        <f t="shared" si="4"/>
        <v>366.79999999999995</v>
      </c>
      <c r="M48" s="60">
        <f t="shared" si="4"/>
        <v>366.79999999999995</v>
      </c>
      <c r="N48" s="60">
        <f t="shared" si="4"/>
        <v>366.79999999999995</v>
      </c>
      <c r="O48" s="60">
        <f t="shared" si="4"/>
        <v>366.79999999999995</v>
      </c>
      <c r="P48" s="60">
        <f t="shared" si="4"/>
        <v>366.79999999999995</v>
      </c>
      <c r="Q48" s="60">
        <f t="shared" si="4"/>
        <v>366.79999999999995</v>
      </c>
      <c r="R48" s="60">
        <f t="shared" si="4"/>
        <v>366.79999999999995</v>
      </c>
      <c r="S48" s="60">
        <f t="shared" si="4"/>
        <v>366.79999999999995</v>
      </c>
      <c r="T48" s="60">
        <f t="shared" si="4"/>
        <v>366.79999999999995</v>
      </c>
      <c r="U48" s="60">
        <f t="shared" si="4"/>
        <v>366.79999999999995</v>
      </c>
      <c r="V48" s="60">
        <f t="shared" si="4"/>
        <v>366.79999999999995</v>
      </c>
      <c r="W48" s="60">
        <f t="shared" si="4"/>
        <v>366.79999999999995</v>
      </c>
      <c r="X48" s="60">
        <f t="shared" si="4"/>
        <v>366.79999999999995</v>
      </c>
      <c r="Y48" s="60">
        <f t="shared" si="4"/>
        <v>366.79999999999995</v>
      </c>
      <c r="Z48" s="60">
        <f t="shared" si="4"/>
        <v>366.79999999999995</v>
      </c>
      <c r="AA48" s="60">
        <f t="shared" si="4"/>
        <v>366.79999999999995</v>
      </c>
      <c r="AB48" s="60">
        <f t="shared" si="4"/>
        <v>366.79999999999995</v>
      </c>
      <c r="AC48" s="60">
        <f t="shared" si="4"/>
        <v>368.29999999999995</v>
      </c>
      <c r="AD48" s="60">
        <f t="shared" si="4"/>
        <v>368.29999999999995</v>
      </c>
      <c r="AE48" s="60">
        <f t="shared" si="4"/>
        <v>368.29999999999995</v>
      </c>
      <c r="AF48" s="60">
        <f t="shared" si="4"/>
        <v>368.29999999999995</v>
      </c>
      <c r="AG48" s="61">
        <f t="shared" si="4"/>
        <v>875.68</v>
      </c>
      <c r="AH48" s="47">
        <f t="shared" si="2"/>
        <v>376.09999999999997</v>
      </c>
      <c r="AI48" s="48">
        <f t="shared" si="3"/>
        <v>366.79999999999995</v>
      </c>
      <c r="AK48" s="49"/>
    </row>
    <row r="49" spans="1:41" x14ac:dyDescent="0.25">
      <c r="A49" s="62" t="s">
        <v>53</v>
      </c>
      <c r="B49" s="45">
        <v>50</v>
      </c>
      <c r="C49" s="45">
        <v>75</v>
      </c>
      <c r="D49" s="45">
        <v>85</v>
      </c>
      <c r="E49" s="45">
        <v>76</v>
      </c>
      <c r="F49" s="45">
        <v>66</v>
      </c>
      <c r="G49" s="45">
        <v>65</v>
      </c>
      <c r="H49" s="45">
        <v>86</v>
      </c>
      <c r="I49" s="45">
        <v>85</v>
      </c>
      <c r="J49" s="45">
        <v>95</v>
      </c>
      <c r="K49" s="45">
        <v>100</v>
      </c>
      <c r="L49" s="45">
        <v>110</v>
      </c>
      <c r="M49" s="63">
        <v>130</v>
      </c>
      <c r="N49" s="63">
        <v>120</v>
      </c>
      <c r="O49" s="45">
        <v>85</v>
      </c>
      <c r="P49" s="45">
        <v>100</v>
      </c>
      <c r="Q49" s="45">
        <v>90</v>
      </c>
      <c r="R49" s="45">
        <v>90</v>
      </c>
      <c r="S49" s="45">
        <v>100</v>
      </c>
      <c r="T49" s="45">
        <v>100</v>
      </c>
      <c r="U49" s="45">
        <v>100</v>
      </c>
      <c r="V49" s="45">
        <v>80</v>
      </c>
      <c r="W49" s="45">
        <v>80</v>
      </c>
      <c r="X49" s="45">
        <v>40</v>
      </c>
      <c r="Y49" s="45">
        <v>160</v>
      </c>
      <c r="Z49" s="45">
        <v>160</v>
      </c>
      <c r="AA49" s="45">
        <v>140</v>
      </c>
      <c r="AB49" s="45">
        <v>130</v>
      </c>
      <c r="AC49" s="45">
        <v>90</v>
      </c>
      <c r="AD49" s="45">
        <v>65</v>
      </c>
      <c r="AE49" s="45">
        <v>20</v>
      </c>
      <c r="AF49" s="45">
        <v>20</v>
      </c>
      <c r="AG49" s="51">
        <v>456</v>
      </c>
      <c r="AH49" s="47">
        <f t="shared" si="2"/>
        <v>160</v>
      </c>
      <c r="AI49" s="48">
        <f t="shared" si="3"/>
        <v>20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</v>
      </c>
      <c r="C51" s="67">
        <v>10</v>
      </c>
      <c r="D51" s="67">
        <v>10</v>
      </c>
      <c r="E51" s="67">
        <v>10.1</v>
      </c>
      <c r="F51" s="67">
        <v>10.199999999999999</v>
      </c>
      <c r="G51" s="67">
        <v>10.6</v>
      </c>
      <c r="H51" s="67">
        <v>10.6</v>
      </c>
      <c r="I51" s="67">
        <v>10.6</v>
      </c>
      <c r="J51" s="67">
        <v>10.6</v>
      </c>
      <c r="K51" s="67">
        <v>10</v>
      </c>
      <c r="L51" s="67">
        <v>10.6</v>
      </c>
      <c r="M51" s="67">
        <v>10.6</v>
      </c>
      <c r="N51" s="67">
        <v>10.6</v>
      </c>
      <c r="O51" s="67">
        <v>10.6</v>
      </c>
      <c r="P51" s="67">
        <v>10.6</v>
      </c>
      <c r="Q51" s="67">
        <v>10.6</v>
      </c>
      <c r="R51" s="67">
        <v>10.6</v>
      </c>
      <c r="S51" s="67">
        <v>10.6</v>
      </c>
      <c r="T51" s="67">
        <v>10.5</v>
      </c>
      <c r="U51" s="67">
        <v>10.5</v>
      </c>
      <c r="V51" s="67">
        <v>10.5</v>
      </c>
      <c r="W51" s="67">
        <v>10.5</v>
      </c>
      <c r="X51" s="67">
        <v>10.5</v>
      </c>
      <c r="Y51" s="67">
        <v>10.5</v>
      </c>
      <c r="Z51" s="67">
        <v>10.5</v>
      </c>
      <c r="AA51" s="67">
        <v>10.5</v>
      </c>
      <c r="AB51" s="67">
        <v>10.5</v>
      </c>
      <c r="AC51" s="67">
        <v>10.5</v>
      </c>
      <c r="AD51" s="67">
        <v>10.5</v>
      </c>
      <c r="AE51" s="67">
        <v>10.5</v>
      </c>
      <c r="AF51" s="67">
        <v>10.5</v>
      </c>
      <c r="AG51" s="68">
        <v>22.1</v>
      </c>
      <c r="AH51" s="47">
        <f t="shared" si="2"/>
        <v>10.6</v>
      </c>
      <c r="AI51" s="48">
        <f t="shared" si="3"/>
        <v>10</v>
      </c>
      <c r="AK51" s="49"/>
    </row>
    <row r="52" spans="1:41" ht="15.75" thickBot="1" x14ac:dyDescent="0.3">
      <c r="A52" s="69" t="s">
        <v>56</v>
      </c>
      <c r="B52" s="60">
        <f t="shared" ref="B52:AG52" si="5">SUM(B49:B51)</f>
        <v>87</v>
      </c>
      <c r="C52" s="60">
        <f t="shared" si="5"/>
        <v>112</v>
      </c>
      <c r="D52" s="60">
        <f t="shared" si="5"/>
        <v>122</v>
      </c>
      <c r="E52" s="60">
        <f t="shared" si="5"/>
        <v>113.1</v>
      </c>
      <c r="F52" s="60">
        <f t="shared" si="5"/>
        <v>103.2</v>
      </c>
      <c r="G52" s="60">
        <f t="shared" si="5"/>
        <v>102.6</v>
      </c>
      <c r="H52" s="60">
        <f t="shared" si="5"/>
        <v>123.6</v>
      </c>
      <c r="I52" s="60">
        <f t="shared" si="5"/>
        <v>122.6</v>
      </c>
      <c r="J52" s="60">
        <f t="shared" si="5"/>
        <v>132.6</v>
      </c>
      <c r="K52" s="60">
        <f t="shared" si="5"/>
        <v>137</v>
      </c>
      <c r="L52" s="60">
        <f t="shared" si="5"/>
        <v>147.6</v>
      </c>
      <c r="M52" s="60">
        <f t="shared" si="5"/>
        <v>167.6</v>
      </c>
      <c r="N52" s="60">
        <f t="shared" si="5"/>
        <v>157.6</v>
      </c>
      <c r="O52" s="60">
        <f t="shared" si="5"/>
        <v>122.6</v>
      </c>
      <c r="P52" s="60">
        <f t="shared" si="5"/>
        <v>137.6</v>
      </c>
      <c r="Q52" s="60">
        <f t="shared" si="5"/>
        <v>127.6</v>
      </c>
      <c r="R52" s="60">
        <f t="shared" si="5"/>
        <v>127.6</v>
      </c>
      <c r="S52" s="60">
        <f t="shared" si="5"/>
        <v>137.6</v>
      </c>
      <c r="T52" s="60">
        <f t="shared" si="5"/>
        <v>137.5</v>
      </c>
      <c r="U52" s="60">
        <f t="shared" si="5"/>
        <v>137.5</v>
      </c>
      <c r="V52" s="60">
        <f t="shared" si="5"/>
        <v>117.5</v>
      </c>
      <c r="W52" s="60">
        <f t="shared" si="5"/>
        <v>117.5</v>
      </c>
      <c r="X52" s="60">
        <f t="shared" si="5"/>
        <v>77.5</v>
      </c>
      <c r="Y52" s="60">
        <f t="shared" si="5"/>
        <v>197.5</v>
      </c>
      <c r="Z52" s="60">
        <f t="shared" si="5"/>
        <v>197.5</v>
      </c>
      <c r="AA52" s="60">
        <f t="shared" si="5"/>
        <v>177.5</v>
      </c>
      <c r="AB52" s="60">
        <f t="shared" si="5"/>
        <v>167.5</v>
      </c>
      <c r="AC52" s="60">
        <f t="shared" si="5"/>
        <v>127.5</v>
      </c>
      <c r="AD52" s="60">
        <f t="shared" si="5"/>
        <v>102.5</v>
      </c>
      <c r="AE52" s="60">
        <f t="shared" si="5"/>
        <v>57.5</v>
      </c>
      <c r="AF52" s="60">
        <f t="shared" si="5"/>
        <v>57.5</v>
      </c>
      <c r="AG52" s="61">
        <f t="shared" si="5"/>
        <v>538.1</v>
      </c>
      <c r="AH52" s="47">
        <f t="shared" si="2"/>
        <v>197.5</v>
      </c>
      <c r="AI52" s="48">
        <f t="shared" si="3"/>
        <v>57.5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45.6</v>
      </c>
      <c r="I53" s="45">
        <v>48</v>
      </c>
      <c r="J53" s="45">
        <v>48</v>
      </c>
      <c r="K53" s="45">
        <v>70.7</v>
      </c>
      <c r="L53" s="45">
        <v>89.8</v>
      </c>
      <c r="M53" s="45">
        <v>86.1</v>
      </c>
      <c r="N53" s="45">
        <v>50</v>
      </c>
      <c r="O53" s="45">
        <v>40.700000000000003</v>
      </c>
      <c r="P53" s="45">
        <v>35</v>
      </c>
      <c r="Q53" s="45">
        <v>30.5</v>
      </c>
      <c r="R53" s="45">
        <v>25.3</v>
      </c>
      <c r="S53" s="45">
        <v>29</v>
      </c>
      <c r="T53" s="45">
        <v>28.4</v>
      </c>
      <c r="U53" s="45">
        <v>28.4</v>
      </c>
      <c r="V53" s="45">
        <v>35.6</v>
      </c>
      <c r="W53" s="45">
        <v>42.5</v>
      </c>
      <c r="X53" s="45">
        <v>141</v>
      </c>
      <c r="Y53" s="45">
        <v>141</v>
      </c>
      <c r="Z53" s="45">
        <v>141</v>
      </c>
      <c r="AA53" s="45">
        <v>141</v>
      </c>
      <c r="AB53" s="45">
        <v>141.1</v>
      </c>
      <c r="AC53" s="45">
        <v>115</v>
      </c>
      <c r="AD53" s="45">
        <v>115</v>
      </c>
      <c r="AE53" s="45">
        <v>46</v>
      </c>
      <c r="AF53" s="45">
        <v>0</v>
      </c>
      <c r="AG53" s="51">
        <v>144</v>
      </c>
      <c r="AH53" s="47">
        <f t="shared" si="2"/>
        <v>141.1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16</v>
      </c>
      <c r="H55" s="65">
        <v>55</v>
      </c>
      <c r="I55" s="65">
        <v>56</v>
      </c>
      <c r="J55" s="65">
        <v>60</v>
      </c>
      <c r="K55" s="65">
        <v>66.099999999999994</v>
      </c>
      <c r="L55" s="65">
        <v>68.8</v>
      </c>
      <c r="M55" s="65">
        <v>66.599999999999994</v>
      </c>
      <c r="N55" s="65">
        <v>66.599999999999994</v>
      </c>
      <c r="O55" s="65">
        <v>60</v>
      </c>
      <c r="P55" s="65">
        <v>63</v>
      </c>
      <c r="Q55" s="65">
        <v>67.5</v>
      </c>
      <c r="R55" s="65">
        <v>43.2</v>
      </c>
      <c r="S55" s="65">
        <v>42</v>
      </c>
      <c r="T55" s="45">
        <v>41.7</v>
      </c>
      <c r="U55" s="45">
        <v>41.7</v>
      </c>
      <c r="V55" s="45">
        <v>47</v>
      </c>
      <c r="W55" s="45">
        <v>36</v>
      </c>
      <c r="X55" s="45">
        <v>36</v>
      </c>
      <c r="Y55" s="45">
        <v>70.5</v>
      </c>
      <c r="Z55" s="45">
        <v>70.5</v>
      </c>
      <c r="AA55" s="45">
        <v>68</v>
      </c>
      <c r="AB55" s="45">
        <v>68</v>
      </c>
      <c r="AC55" s="65">
        <v>51</v>
      </c>
      <c r="AD55" s="65">
        <v>51</v>
      </c>
      <c r="AE55" s="65">
        <v>51</v>
      </c>
      <c r="AF55" s="65">
        <v>19</v>
      </c>
      <c r="AG55" s="54">
        <v>69</v>
      </c>
      <c r="AH55" s="47">
        <f t="shared" si="2"/>
        <v>70.5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42.3</v>
      </c>
      <c r="C56" s="65">
        <v>42.3</v>
      </c>
      <c r="D56" s="65">
        <v>42.3</v>
      </c>
      <c r="E56" s="56">
        <v>42.3</v>
      </c>
      <c r="F56" s="56">
        <v>42.3</v>
      </c>
      <c r="G56" s="56">
        <v>42.3</v>
      </c>
      <c r="H56" s="56">
        <v>42.3</v>
      </c>
      <c r="I56" s="56">
        <v>42.3</v>
      </c>
      <c r="J56" s="56">
        <v>42.3</v>
      </c>
      <c r="K56" s="56">
        <v>42.3</v>
      </c>
      <c r="L56" s="56">
        <v>42.6</v>
      </c>
      <c r="M56" s="56">
        <v>42.6</v>
      </c>
      <c r="N56" s="56">
        <v>42.6</v>
      </c>
      <c r="O56" s="56">
        <v>42.6</v>
      </c>
      <c r="P56" s="56">
        <v>42.6</v>
      </c>
      <c r="Q56" s="56">
        <v>42.6</v>
      </c>
      <c r="R56" s="56">
        <v>42.6</v>
      </c>
      <c r="S56" s="56">
        <v>38</v>
      </c>
      <c r="T56" s="45">
        <v>40.1</v>
      </c>
      <c r="U56" s="45">
        <v>40.1</v>
      </c>
      <c r="V56" s="45">
        <v>40.1</v>
      </c>
      <c r="W56" s="45">
        <v>40.1</v>
      </c>
      <c r="X56" s="45">
        <v>40.1</v>
      </c>
      <c r="Y56" s="65">
        <v>40.1</v>
      </c>
      <c r="Z56" s="65">
        <v>40.1</v>
      </c>
      <c r="AA56" s="65">
        <v>40.1</v>
      </c>
      <c r="AB56" s="65">
        <v>40.1</v>
      </c>
      <c r="AC56" s="65">
        <v>40.1</v>
      </c>
      <c r="AD56" s="65">
        <v>40.1</v>
      </c>
      <c r="AE56" s="65">
        <v>40.1</v>
      </c>
      <c r="AF56" s="65">
        <v>40.1</v>
      </c>
      <c r="AG56" s="54">
        <v>60</v>
      </c>
      <c r="AH56" s="47">
        <f t="shared" si="2"/>
        <v>42.6</v>
      </c>
      <c r="AI56" s="48">
        <f t="shared" si="3"/>
        <v>38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56">
        <v>0</v>
      </c>
      <c r="F57" s="56">
        <v>0</v>
      </c>
      <c r="G57" s="56">
        <v>13</v>
      </c>
      <c r="H57" s="56">
        <v>26</v>
      </c>
      <c r="I57" s="56">
        <v>26</v>
      </c>
      <c r="J57" s="56">
        <v>26</v>
      </c>
      <c r="K57" s="56">
        <v>13.6</v>
      </c>
      <c r="L57" s="56">
        <v>15</v>
      </c>
      <c r="M57" s="56">
        <v>15</v>
      </c>
      <c r="N57" s="56">
        <v>15</v>
      </c>
      <c r="O57" s="65">
        <v>0</v>
      </c>
      <c r="P57" s="65">
        <v>0</v>
      </c>
      <c r="Q57" s="65">
        <v>0</v>
      </c>
      <c r="R57" s="65">
        <v>0</v>
      </c>
      <c r="S57" s="65">
        <v>15</v>
      </c>
      <c r="T57" s="45">
        <v>15</v>
      </c>
      <c r="U57" s="45">
        <v>15</v>
      </c>
      <c r="V57" s="45">
        <v>15</v>
      </c>
      <c r="W57" s="45">
        <v>15</v>
      </c>
      <c r="X57" s="45">
        <v>15</v>
      </c>
      <c r="Y57" s="65">
        <v>13</v>
      </c>
      <c r="Z57" s="65">
        <v>13</v>
      </c>
      <c r="AA57" s="65">
        <v>13</v>
      </c>
      <c r="AB57" s="65">
        <v>13</v>
      </c>
      <c r="AC57" s="65">
        <v>13</v>
      </c>
      <c r="AD57" s="65">
        <v>13</v>
      </c>
      <c r="AE57" s="65">
        <v>0</v>
      </c>
      <c r="AF57" s="65">
        <v>0</v>
      </c>
      <c r="AG57" s="54">
        <v>30</v>
      </c>
      <c r="AH57" s="47">
        <f t="shared" si="2"/>
        <v>26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14.8</v>
      </c>
      <c r="R58" s="45">
        <v>14.8</v>
      </c>
      <c r="S58" s="45">
        <v>14.8</v>
      </c>
      <c r="T58" s="45">
        <v>14.8</v>
      </c>
      <c r="U58" s="45">
        <v>14.8</v>
      </c>
      <c r="V58" s="45">
        <v>14.8</v>
      </c>
      <c r="W58" s="45">
        <v>14.8</v>
      </c>
      <c r="X58" s="4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14.8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12.9</v>
      </c>
      <c r="C59" s="65">
        <v>12.9</v>
      </c>
      <c r="D59" s="65">
        <v>12.9</v>
      </c>
      <c r="E59" s="65">
        <v>13</v>
      </c>
      <c r="F59" s="65">
        <v>13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14</v>
      </c>
      <c r="Q59" s="65">
        <v>14</v>
      </c>
      <c r="R59" s="65">
        <v>14</v>
      </c>
      <c r="S59" s="65">
        <v>14</v>
      </c>
      <c r="T59" s="65">
        <v>14</v>
      </c>
      <c r="U59" s="65">
        <v>14</v>
      </c>
      <c r="V59" s="65">
        <v>14</v>
      </c>
      <c r="W59" s="65">
        <v>14</v>
      </c>
      <c r="X59" s="65">
        <v>14</v>
      </c>
      <c r="Y59" s="65">
        <v>14</v>
      </c>
      <c r="Z59" s="65">
        <v>14</v>
      </c>
      <c r="AA59" s="65">
        <v>14</v>
      </c>
      <c r="AB59" s="65">
        <v>14</v>
      </c>
      <c r="AC59" s="65">
        <v>14</v>
      </c>
      <c r="AD59" s="65">
        <v>14</v>
      </c>
      <c r="AE59" s="65">
        <v>14</v>
      </c>
      <c r="AF59" s="65">
        <v>14</v>
      </c>
      <c r="AG59" s="54">
        <v>24</v>
      </c>
      <c r="AH59" s="47">
        <f t="shared" si="2"/>
        <v>14</v>
      </c>
      <c r="AI59" s="48">
        <f t="shared" si="3"/>
        <v>12.9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12.6</v>
      </c>
      <c r="F61" s="65">
        <v>12.6</v>
      </c>
      <c r="G61" s="65">
        <v>12.6</v>
      </c>
      <c r="H61" s="65">
        <v>12.6</v>
      </c>
      <c r="I61" s="65">
        <v>10.6</v>
      </c>
      <c r="J61" s="65">
        <v>10.6</v>
      </c>
      <c r="K61" s="65">
        <v>10.6</v>
      </c>
      <c r="L61" s="65">
        <v>10.6</v>
      </c>
      <c r="M61" s="65">
        <v>10.6</v>
      </c>
      <c r="N61" s="65">
        <v>10.6</v>
      </c>
      <c r="O61" s="65">
        <v>10.6</v>
      </c>
      <c r="P61" s="65">
        <v>10.6</v>
      </c>
      <c r="Q61" s="65">
        <v>10.6</v>
      </c>
      <c r="R61" s="65">
        <v>10.6</v>
      </c>
      <c r="S61" s="65">
        <v>10.6</v>
      </c>
      <c r="T61" s="65">
        <v>10.6</v>
      </c>
      <c r="U61" s="65">
        <v>10.6</v>
      </c>
      <c r="V61" s="65">
        <v>10.6</v>
      </c>
      <c r="W61" s="65">
        <v>10.6</v>
      </c>
      <c r="X61" s="65">
        <v>10.6</v>
      </c>
      <c r="Y61" s="65">
        <v>10.6</v>
      </c>
      <c r="Z61" s="65">
        <v>10.6</v>
      </c>
      <c r="AA61" s="65">
        <v>10.6</v>
      </c>
      <c r="AB61" s="65">
        <v>10.6</v>
      </c>
      <c r="AC61" s="65">
        <v>10.6</v>
      </c>
      <c r="AD61" s="65">
        <v>10.6</v>
      </c>
      <c r="AE61" s="65">
        <v>10.6</v>
      </c>
      <c r="AF61" s="65">
        <v>10.6</v>
      </c>
      <c r="AG61" s="54">
        <v>14.1</v>
      </c>
      <c r="AH61" s="47">
        <f t="shared" si="2"/>
        <v>12.6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4.7</v>
      </c>
      <c r="C62" s="65">
        <v>4.7</v>
      </c>
      <c r="D62" s="65">
        <v>4.7</v>
      </c>
      <c r="E62" s="65">
        <v>3.1</v>
      </c>
      <c r="F62" s="65">
        <v>3.2</v>
      </c>
      <c r="G62" s="65">
        <v>3.2</v>
      </c>
      <c r="H62" s="65">
        <v>3.2</v>
      </c>
      <c r="I62" s="65">
        <v>3.2</v>
      </c>
      <c r="J62" s="65">
        <v>3.2</v>
      </c>
      <c r="K62" s="65">
        <v>3.2</v>
      </c>
      <c r="L62" s="65">
        <v>3.2</v>
      </c>
      <c r="M62" s="65">
        <v>3.2</v>
      </c>
      <c r="N62" s="65">
        <v>3.2</v>
      </c>
      <c r="O62" s="65">
        <v>3.2</v>
      </c>
      <c r="P62" s="65">
        <v>3.2</v>
      </c>
      <c r="Q62" s="65">
        <v>3.2</v>
      </c>
      <c r="R62" s="65">
        <v>3.2</v>
      </c>
      <c r="S62" s="65">
        <v>3.2</v>
      </c>
      <c r="T62" s="65">
        <v>3.2</v>
      </c>
      <c r="U62" s="65">
        <v>3.2</v>
      </c>
      <c r="V62" s="65">
        <v>3.2</v>
      </c>
      <c r="W62" s="65">
        <v>4.5</v>
      </c>
      <c r="X62" s="65">
        <v>4.5</v>
      </c>
      <c r="Y62" s="65">
        <v>4.5</v>
      </c>
      <c r="Z62" s="65">
        <v>4.5</v>
      </c>
      <c r="AA62" s="65">
        <v>4.5</v>
      </c>
      <c r="AB62" s="65">
        <v>4.5</v>
      </c>
      <c r="AC62" s="65">
        <v>4.5</v>
      </c>
      <c r="AD62" s="65">
        <v>4.5</v>
      </c>
      <c r="AE62" s="65">
        <v>4.5</v>
      </c>
      <c r="AF62" s="65">
        <v>4.5</v>
      </c>
      <c r="AG62" s="54">
        <v>14</v>
      </c>
      <c r="AH62" s="47">
        <f t="shared" si="2"/>
        <v>4.7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4.4000000000000004</v>
      </c>
      <c r="C63" s="65">
        <v>4.4000000000000004</v>
      </c>
      <c r="D63" s="65">
        <v>4.4000000000000004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</v>
      </c>
      <c r="Q63" s="65">
        <v>4.5</v>
      </c>
      <c r="R63" s="65">
        <v>4.5</v>
      </c>
      <c r="S63" s="65">
        <v>4.5</v>
      </c>
      <c r="T63" s="65">
        <v>4.5</v>
      </c>
      <c r="U63" s="65">
        <v>4.5</v>
      </c>
      <c r="V63" s="65">
        <v>4.5</v>
      </c>
      <c r="W63" s="65">
        <v>4.5</v>
      </c>
      <c r="X63" s="65">
        <v>4.5</v>
      </c>
      <c r="Y63" s="65">
        <v>4.5</v>
      </c>
      <c r="Z63" s="65">
        <v>4.5</v>
      </c>
      <c r="AA63" s="65">
        <v>4.5</v>
      </c>
      <c r="AB63" s="65">
        <v>4.5</v>
      </c>
      <c r="AC63" s="65">
        <v>4.5</v>
      </c>
      <c r="AD63" s="65">
        <v>4.5</v>
      </c>
      <c r="AE63" s="65">
        <v>4.5</v>
      </c>
      <c r="AF63" s="65">
        <v>4.5</v>
      </c>
      <c r="AG63" s="54">
        <v>10.050000000000001</v>
      </c>
      <c r="AH63" s="47">
        <f t="shared" si="2"/>
        <v>4.5</v>
      </c>
      <c r="AI63" s="48">
        <f t="shared" si="3"/>
        <v>4.4000000000000004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6">SUM(B53:B65)</f>
        <v>81.840000000000018</v>
      </c>
      <c r="C66" s="60">
        <f t="shared" si="6"/>
        <v>81.840000000000018</v>
      </c>
      <c r="D66" s="60">
        <f t="shared" si="6"/>
        <v>81.840000000000018</v>
      </c>
      <c r="E66" s="60">
        <f t="shared" si="6"/>
        <v>83.74</v>
      </c>
      <c r="F66" s="60">
        <f t="shared" si="6"/>
        <v>83.84</v>
      </c>
      <c r="G66" s="60">
        <f t="shared" si="6"/>
        <v>113.84</v>
      </c>
      <c r="H66" s="60">
        <f t="shared" si="6"/>
        <v>211.43999999999994</v>
      </c>
      <c r="I66" s="60">
        <f t="shared" si="6"/>
        <v>212.83999999999997</v>
      </c>
      <c r="J66" s="60">
        <f t="shared" si="6"/>
        <v>216.83999999999997</v>
      </c>
      <c r="K66" s="60">
        <f t="shared" si="6"/>
        <v>233.23999999999998</v>
      </c>
      <c r="L66" s="60">
        <f t="shared" si="6"/>
        <v>256.73999999999995</v>
      </c>
      <c r="M66" s="60">
        <f t="shared" si="6"/>
        <v>250.83999999999995</v>
      </c>
      <c r="N66" s="60">
        <f t="shared" si="6"/>
        <v>214.73999999999995</v>
      </c>
      <c r="O66" s="60">
        <f t="shared" si="6"/>
        <v>183.83999999999997</v>
      </c>
      <c r="P66" s="60">
        <f t="shared" si="6"/>
        <v>181.13999999999996</v>
      </c>
      <c r="Q66" s="60">
        <f t="shared" si="6"/>
        <v>195.93999999999997</v>
      </c>
      <c r="R66" s="60">
        <f t="shared" si="6"/>
        <v>166.43999999999994</v>
      </c>
      <c r="S66" s="60">
        <f t="shared" si="6"/>
        <v>179.33999999999997</v>
      </c>
      <c r="T66" s="60">
        <f t="shared" si="6"/>
        <v>180.53999999999996</v>
      </c>
      <c r="U66" s="60">
        <f t="shared" si="6"/>
        <v>180.53999999999996</v>
      </c>
      <c r="V66" s="60">
        <f t="shared" si="6"/>
        <v>193.03999999999996</v>
      </c>
      <c r="W66" s="60">
        <f t="shared" si="6"/>
        <v>190.23999999999998</v>
      </c>
      <c r="X66" s="60">
        <f t="shared" si="6"/>
        <v>273.94</v>
      </c>
      <c r="Y66" s="60">
        <f t="shared" si="6"/>
        <v>306.44000000000005</v>
      </c>
      <c r="Z66" s="60">
        <f t="shared" si="6"/>
        <v>306.44000000000005</v>
      </c>
      <c r="AA66" s="60">
        <f t="shared" si="6"/>
        <v>303.94000000000005</v>
      </c>
      <c r="AB66" s="60">
        <f t="shared" si="6"/>
        <v>304.04000000000002</v>
      </c>
      <c r="AC66" s="60">
        <f t="shared" si="6"/>
        <v>260.94</v>
      </c>
      <c r="AD66" s="60">
        <f t="shared" si="6"/>
        <v>260.94</v>
      </c>
      <c r="AE66" s="60">
        <f t="shared" si="6"/>
        <v>178.93999999999997</v>
      </c>
      <c r="AF66" s="60">
        <f t="shared" si="6"/>
        <v>100.94</v>
      </c>
      <c r="AG66" s="61">
        <f t="shared" si="6"/>
        <v>489.91</v>
      </c>
      <c r="AH66" s="47">
        <f t="shared" si="2"/>
        <v>306.44000000000005</v>
      </c>
      <c r="AI66" s="48">
        <f t="shared" si="3"/>
        <v>81.840000000000018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10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34</v>
      </c>
      <c r="W67" s="45">
        <v>30</v>
      </c>
      <c r="X67" s="45">
        <v>10</v>
      </c>
      <c r="Y67" s="45">
        <v>10</v>
      </c>
      <c r="Z67" s="45">
        <v>10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>MAX(B67:AF67)</f>
        <v>34</v>
      </c>
      <c r="AI67" s="48">
        <f>MIN(B67:AF67)</f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5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14.9</v>
      </c>
      <c r="W68" s="65">
        <v>13.7</v>
      </c>
      <c r="X68" s="65">
        <v>4</v>
      </c>
      <c r="Y68" s="65">
        <v>4</v>
      </c>
      <c r="Z68" s="65">
        <v>6.5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>MAX(B68:AF68)</f>
        <v>14.9</v>
      </c>
      <c r="AI68" s="48">
        <f>MIN(B68:AF68)</f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3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>
        <v>0</v>
      </c>
      <c r="U69" s="67">
        <v>0</v>
      </c>
      <c r="V69" s="67">
        <v>5.4</v>
      </c>
      <c r="W69" s="67">
        <v>5</v>
      </c>
      <c r="X69" s="67">
        <v>1.4</v>
      </c>
      <c r="Y69" s="67">
        <v>1.4</v>
      </c>
      <c r="Z69" s="67">
        <v>2.4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>MAX(B69:AF69)</f>
        <v>5.4</v>
      </c>
      <c r="AI69" s="48">
        <f>MIN(B69:AF69)</f>
        <v>0</v>
      </c>
      <c r="AK69" s="49"/>
    </row>
    <row r="70" spans="1:40" ht="15.75" thickBot="1" x14ac:dyDescent="0.3">
      <c r="A70" s="74" t="s">
        <v>74</v>
      </c>
      <c r="B70" s="60">
        <f t="shared" ref="B70" si="7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D70" si="8">M67+M68+M69</f>
        <v>0</v>
      </c>
      <c r="N70" s="60">
        <f t="shared" si="8"/>
        <v>18</v>
      </c>
      <c r="O70" s="60">
        <f t="shared" si="8"/>
        <v>0</v>
      </c>
      <c r="P70" s="60">
        <f t="shared" si="8"/>
        <v>0</v>
      </c>
      <c r="Q70" s="60">
        <f t="shared" si="8"/>
        <v>0</v>
      </c>
      <c r="R70" s="60">
        <f t="shared" si="8"/>
        <v>0</v>
      </c>
      <c r="S70" s="60">
        <f t="shared" si="8"/>
        <v>0</v>
      </c>
      <c r="T70" s="60">
        <f t="shared" si="8"/>
        <v>0</v>
      </c>
      <c r="U70" s="60">
        <f t="shared" si="8"/>
        <v>0</v>
      </c>
      <c r="V70" s="60">
        <f t="shared" si="8"/>
        <v>54.3</v>
      </c>
      <c r="W70" s="60">
        <f t="shared" si="8"/>
        <v>48.7</v>
      </c>
      <c r="X70" s="60">
        <f t="shared" si="8"/>
        <v>15.4</v>
      </c>
      <c r="Y70" s="60">
        <f t="shared" si="8"/>
        <v>15.4</v>
      </c>
      <c r="Z70" s="60">
        <f t="shared" si="8"/>
        <v>18.899999999999999</v>
      </c>
      <c r="AA70" s="60">
        <f t="shared" si="8"/>
        <v>0</v>
      </c>
      <c r="AB70" s="60">
        <f t="shared" si="8"/>
        <v>0</v>
      </c>
      <c r="AC70" s="60">
        <f t="shared" si="8"/>
        <v>0</v>
      </c>
      <c r="AD70" s="60">
        <f t="shared" si="8"/>
        <v>0</v>
      </c>
      <c r="AE70" s="60">
        <f>AE67+AE68+AE69</f>
        <v>0</v>
      </c>
      <c r="AF70" s="60">
        <f>AF67+AF68+AF69</f>
        <v>0</v>
      </c>
      <c r="AG70" s="61">
        <f>SUM(AG67:AG69)</f>
        <v>106</v>
      </c>
      <c r="AH70" s="47">
        <f t="shared" si="2"/>
        <v>54.3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55</v>
      </c>
      <c r="C71" s="45">
        <v>57</v>
      </c>
      <c r="D71" s="45">
        <v>61</v>
      </c>
      <c r="E71" s="45">
        <v>62.1</v>
      </c>
      <c r="F71" s="45">
        <v>61</v>
      </c>
      <c r="G71" s="45">
        <v>65</v>
      </c>
      <c r="H71" s="45">
        <v>69</v>
      </c>
      <c r="I71" s="45">
        <v>61</v>
      </c>
      <c r="J71" s="45">
        <v>68</v>
      </c>
      <c r="K71" s="45">
        <v>63</v>
      </c>
      <c r="L71" s="45">
        <v>66.900000000000006</v>
      </c>
      <c r="M71" s="45">
        <v>75.099999999999994</v>
      </c>
      <c r="N71" s="45">
        <v>75.099999999999994</v>
      </c>
      <c r="O71" s="45">
        <v>70</v>
      </c>
      <c r="P71" s="45">
        <v>68</v>
      </c>
      <c r="Q71" s="45">
        <v>69</v>
      </c>
      <c r="R71" s="45">
        <v>70.900000000000006</v>
      </c>
      <c r="S71" s="45">
        <v>72</v>
      </c>
      <c r="T71" s="45">
        <v>71.7</v>
      </c>
      <c r="U71" s="45">
        <v>62.7</v>
      </c>
      <c r="V71" s="45">
        <v>68.5</v>
      </c>
      <c r="W71" s="45">
        <v>57</v>
      </c>
      <c r="X71" s="45">
        <v>61</v>
      </c>
      <c r="Y71" s="45">
        <v>63</v>
      </c>
      <c r="Z71" s="45">
        <v>66.400000000000006</v>
      </c>
      <c r="AA71" s="45">
        <v>62.4</v>
      </c>
      <c r="AB71" s="45">
        <v>63</v>
      </c>
      <c r="AC71" s="45">
        <v>60</v>
      </c>
      <c r="AD71" s="45">
        <v>65</v>
      </c>
      <c r="AE71" s="45">
        <v>63</v>
      </c>
      <c r="AF71" s="45">
        <v>60</v>
      </c>
      <c r="AG71" s="51"/>
      <c r="AH71" s="47">
        <f t="shared" si="2"/>
        <v>75.099999999999994</v>
      </c>
      <c r="AI71" s="48">
        <f t="shared" si="3"/>
        <v>55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300</v>
      </c>
      <c r="C73" s="65">
        <v>279</v>
      </c>
      <c r="D73" s="65">
        <v>277</v>
      </c>
      <c r="E73" s="65">
        <v>269</v>
      </c>
      <c r="F73" s="65">
        <v>275</v>
      </c>
      <c r="G73" s="65">
        <v>299</v>
      </c>
      <c r="H73" s="65">
        <v>312</v>
      </c>
      <c r="I73" s="65">
        <v>309</v>
      </c>
      <c r="J73" s="65">
        <v>314</v>
      </c>
      <c r="K73" s="65">
        <v>335</v>
      </c>
      <c r="L73" s="65">
        <v>352</v>
      </c>
      <c r="M73" s="65">
        <v>332</v>
      </c>
      <c r="N73" s="65">
        <v>332</v>
      </c>
      <c r="O73" s="65">
        <v>332.5</v>
      </c>
      <c r="P73" s="65">
        <v>339</v>
      </c>
      <c r="Q73" s="65">
        <v>365</v>
      </c>
      <c r="R73" s="65">
        <v>335.6</v>
      </c>
      <c r="S73" s="65">
        <v>339</v>
      </c>
      <c r="T73" s="65">
        <v>330</v>
      </c>
      <c r="U73" s="65">
        <v>342</v>
      </c>
      <c r="V73" s="65">
        <v>326</v>
      </c>
      <c r="W73" s="65">
        <v>319</v>
      </c>
      <c r="X73" s="65">
        <v>335</v>
      </c>
      <c r="Y73" s="65">
        <v>363</v>
      </c>
      <c r="Z73" s="65">
        <v>339</v>
      </c>
      <c r="AA73" s="65">
        <v>344</v>
      </c>
      <c r="AB73" s="65">
        <v>345</v>
      </c>
      <c r="AC73" s="65">
        <v>332</v>
      </c>
      <c r="AD73" s="65">
        <v>345</v>
      </c>
      <c r="AE73" s="65">
        <v>338</v>
      </c>
      <c r="AF73" s="65">
        <v>330</v>
      </c>
      <c r="AG73" s="75"/>
      <c r="AH73" s="47">
        <f t="shared" si="2"/>
        <v>365</v>
      </c>
      <c r="AI73" s="48">
        <f t="shared" si="3"/>
        <v>269</v>
      </c>
      <c r="AK73" s="49"/>
    </row>
    <row r="74" spans="1:40" x14ac:dyDescent="0.25">
      <c r="A74" s="53" t="s">
        <v>78</v>
      </c>
      <c r="B74" s="65">
        <v>57</v>
      </c>
      <c r="C74" s="65">
        <v>57</v>
      </c>
      <c r="D74" s="65">
        <v>57</v>
      </c>
      <c r="E74" s="76">
        <v>53.2</v>
      </c>
      <c r="F74" s="76">
        <v>54.5</v>
      </c>
      <c r="G74" s="76">
        <v>56.8</v>
      </c>
      <c r="H74" s="76">
        <v>42</v>
      </c>
      <c r="I74" s="76">
        <v>55</v>
      </c>
      <c r="J74" s="76">
        <v>60</v>
      </c>
      <c r="K74" s="76">
        <v>52.9</v>
      </c>
      <c r="L74" s="76">
        <v>68.5</v>
      </c>
      <c r="M74" s="76">
        <v>68.5</v>
      </c>
      <c r="N74" s="76">
        <v>68.5</v>
      </c>
      <c r="O74" s="76">
        <v>68.5</v>
      </c>
      <c r="P74" s="76">
        <v>68.5</v>
      </c>
      <c r="Q74" s="76">
        <v>68.5</v>
      </c>
      <c r="R74" s="76">
        <v>68.5</v>
      </c>
      <c r="S74" s="76">
        <v>68.5</v>
      </c>
      <c r="T74" s="76">
        <v>65.7</v>
      </c>
      <c r="U74" s="76">
        <v>63</v>
      </c>
      <c r="V74" s="76">
        <v>63</v>
      </c>
      <c r="W74" s="76">
        <v>55</v>
      </c>
      <c r="X74" s="76">
        <v>59</v>
      </c>
      <c r="Y74" s="65">
        <v>61.3</v>
      </c>
      <c r="Z74" s="65">
        <v>61.3</v>
      </c>
      <c r="AA74" s="65">
        <v>67</v>
      </c>
      <c r="AB74" s="65">
        <v>67</v>
      </c>
      <c r="AC74" s="65">
        <v>60</v>
      </c>
      <c r="AD74" s="65">
        <v>60</v>
      </c>
      <c r="AE74" s="65">
        <v>60</v>
      </c>
      <c r="AF74" s="65">
        <v>59</v>
      </c>
      <c r="AG74" s="75"/>
      <c r="AH74" s="47">
        <f t="shared" si="2"/>
        <v>68.5</v>
      </c>
      <c r="AI74" s="48">
        <f t="shared" si="3"/>
        <v>42</v>
      </c>
      <c r="AK74" s="49"/>
    </row>
    <row r="75" spans="1:40" x14ac:dyDescent="0.25">
      <c r="A75" s="53" t="s">
        <v>79</v>
      </c>
      <c r="B75" s="45">
        <v>25</v>
      </c>
      <c r="C75" s="45">
        <v>25</v>
      </c>
      <c r="D75" s="45">
        <v>25</v>
      </c>
      <c r="E75" s="45">
        <v>26</v>
      </c>
      <c r="F75" s="45">
        <v>20</v>
      </c>
      <c r="G75" s="45">
        <v>22</v>
      </c>
      <c r="H75" s="45">
        <v>22</v>
      </c>
      <c r="I75" s="45">
        <v>24</v>
      </c>
      <c r="J75" s="45">
        <v>29</v>
      </c>
      <c r="K75" s="45">
        <v>29</v>
      </c>
      <c r="L75" s="45">
        <v>66</v>
      </c>
      <c r="M75" s="45">
        <v>66</v>
      </c>
      <c r="N75" s="45">
        <v>66</v>
      </c>
      <c r="O75" s="45">
        <v>66</v>
      </c>
      <c r="P75" s="45">
        <v>66</v>
      </c>
      <c r="Q75" s="45">
        <v>66</v>
      </c>
      <c r="R75" s="45">
        <v>66</v>
      </c>
      <c r="S75" s="45">
        <v>66</v>
      </c>
      <c r="T75" s="45">
        <v>81</v>
      </c>
      <c r="U75" s="45">
        <v>81</v>
      </c>
      <c r="V75" s="45">
        <v>81</v>
      </c>
      <c r="W75" s="45">
        <v>81</v>
      </c>
      <c r="X75" s="45">
        <v>81</v>
      </c>
      <c r="Y75" s="45">
        <v>81</v>
      </c>
      <c r="Z75" s="45">
        <v>81</v>
      </c>
      <c r="AA75" s="45">
        <v>81</v>
      </c>
      <c r="AB75" s="45">
        <v>81</v>
      </c>
      <c r="AC75" s="45">
        <v>85</v>
      </c>
      <c r="AD75" s="45">
        <v>85</v>
      </c>
      <c r="AE75" s="45">
        <v>85</v>
      </c>
      <c r="AF75" s="45">
        <v>85</v>
      </c>
      <c r="AG75" s="75"/>
      <c r="AH75" s="47">
        <f t="shared" ref="AH75:AH117" si="9">MAX(B75:AF75)</f>
        <v>85</v>
      </c>
      <c r="AI75" s="48">
        <f t="shared" ref="AI75:AI117" si="10">MIN(B75:AF75)</f>
        <v>20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0</v>
      </c>
      <c r="AG76" s="75"/>
      <c r="AH76" s="47">
        <f t="shared" si="9"/>
        <v>5</v>
      </c>
      <c r="AI76" s="48">
        <f t="shared" si="10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9"/>
        <v>0</v>
      </c>
      <c r="AI77" s="48">
        <f t="shared" si="1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9"/>
        <v>0</v>
      </c>
      <c r="AI78" s="48">
        <f t="shared" si="1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9"/>
        <v>0</v>
      </c>
      <c r="AI80" s="48">
        <f t="shared" si="1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9"/>
        <v>0</v>
      </c>
      <c r="AI81" s="48">
        <f t="shared" si="1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1">SUMIF(B71:B81,"&gt;0")</f>
        <v>442</v>
      </c>
      <c r="C82" s="60">
        <f t="shared" si="11"/>
        <v>423</v>
      </c>
      <c r="D82" s="60">
        <f t="shared" si="11"/>
        <v>425</v>
      </c>
      <c r="E82" s="60">
        <f t="shared" si="11"/>
        <v>415.3</v>
      </c>
      <c r="F82" s="60">
        <f t="shared" si="11"/>
        <v>415.5</v>
      </c>
      <c r="G82" s="60">
        <f t="shared" si="11"/>
        <v>447.8</v>
      </c>
      <c r="H82" s="60">
        <f t="shared" si="11"/>
        <v>450</v>
      </c>
      <c r="I82" s="60">
        <f t="shared" si="11"/>
        <v>454</v>
      </c>
      <c r="J82" s="60">
        <f t="shared" si="11"/>
        <v>476</v>
      </c>
      <c r="K82" s="60">
        <f t="shared" si="11"/>
        <v>484.9</v>
      </c>
      <c r="L82" s="60">
        <f t="shared" si="11"/>
        <v>558.4</v>
      </c>
      <c r="M82" s="60">
        <f t="shared" si="11"/>
        <v>546.6</v>
      </c>
      <c r="N82" s="60">
        <f t="shared" si="11"/>
        <v>546.6</v>
      </c>
      <c r="O82" s="60">
        <f t="shared" si="11"/>
        <v>542</v>
      </c>
      <c r="P82" s="60">
        <f t="shared" si="11"/>
        <v>546.5</v>
      </c>
      <c r="Q82" s="60">
        <f t="shared" si="11"/>
        <v>573.5</v>
      </c>
      <c r="R82" s="60">
        <f t="shared" si="11"/>
        <v>546</v>
      </c>
      <c r="S82" s="60">
        <f t="shared" si="11"/>
        <v>550.5</v>
      </c>
      <c r="T82" s="60">
        <f t="shared" si="11"/>
        <v>553.4</v>
      </c>
      <c r="U82" s="60">
        <f t="shared" si="11"/>
        <v>553.70000000000005</v>
      </c>
      <c r="V82" s="60">
        <f t="shared" si="11"/>
        <v>543.5</v>
      </c>
      <c r="W82" s="60">
        <f t="shared" si="11"/>
        <v>517</v>
      </c>
      <c r="X82" s="60">
        <f t="shared" si="11"/>
        <v>541</v>
      </c>
      <c r="Y82" s="60">
        <f t="shared" si="11"/>
        <v>573.29999999999995</v>
      </c>
      <c r="Z82" s="60">
        <f t="shared" si="11"/>
        <v>552.70000000000005</v>
      </c>
      <c r="AA82" s="60">
        <f t="shared" si="11"/>
        <v>559.4</v>
      </c>
      <c r="AB82" s="60">
        <f t="shared" si="11"/>
        <v>561</v>
      </c>
      <c r="AC82" s="60">
        <f t="shared" si="11"/>
        <v>542</v>
      </c>
      <c r="AD82" s="60">
        <f t="shared" si="11"/>
        <v>560</v>
      </c>
      <c r="AE82" s="60">
        <f t="shared" si="11"/>
        <v>551</v>
      </c>
      <c r="AF82" s="60">
        <f t="shared" si="11"/>
        <v>534</v>
      </c>
      <c r="AG82" s="88">
        <f>SUM(AG71:AG81)</f>
        <v>0</v>
      </c>
      <c r="AH82" s="47">
        <f t="shared" si="9"/>
        <v>573.5</v>
      </c>
      <c r="AI82" s="48">
        <f t="shared" si="10"/>
        <v>415.3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9"/>
        <v>0</v>
      </c>
      <c r="AI83" s="48">
        <f t="shared" si="1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9"/>
        <v>0</v>
      </c>
      <c r="AI84" s="48">
        <f t="shared" si="1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9"/>
        <v>0</v>
      </c>
      <c r="AI85" s="48">
        <f t="shared" si="1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9"/>
        <v>0</v>
      </c>
      <c r="AI86" s="48">
        <f t="shared" si="10"/>
        <v>0</v>
      </c>
    </row>
    <row r="87" spans="1:40" ht="15.75" thickBot="1" x14ac:dyDescent="0.3">
      <c r="A87" s="74" t="s">
        <v>94</v>
      </c>
      <c r="B87" s="95">
        <f t="shared" ref="B87:AG87" si="12">B48+B52+B70+B66+B82+B86</f>
        <v>986.93999999999994</v>
      </c>
      <c r="C87" s="95">
        <f t="shared" si="12"/>
        <v>992.93999999999994</v>
      </c>
      <c r="D87" s="95">
        <f t="shared" si="12"/>
        <v>1004.9399999999999</v>
      </c>
      <c r="E87" s="95">
        <f t="shared" si="12"/>
        <v>986.04</v>
      </c>
      <c r="F87" s="95">
        <f t="shared" si="12"/>
        <v>972.54</v>
      </c>
      <c r="G87" s="95">
        <f t="shared" si="12"/>
        <v>1037.24</v>
      </c>
      <c r="H87" s="95">
        <f t="shared" si="12"/>
        <v>1151.8399999999999</v>
      </c>
      <c r="I87" s="95">
        <f t="shared" si="12"/>
        <v>1156.24</v>
      </c>
      <c r="J87" s="95">
        <f t="shared" si="12"/>
        <v>1192.24</v>
      </c>
      <c r="K87" s="95">
        <f t="shared" si="12"/>
        <v>1221.94</v>
      </c>
      <c r="L87" s="95">
        <f t="shared" si="12"/>
        <v>1329.54</v>
      </c>
      <c r="M87" s="95">
        <f t="shared" si="12"/>
        <v>1331.84</v>
      </c>
      <c r="N87" s="95">
        <f t="shared" si="12"/>
        <v>1303.7399999999998</v>
      </c>
      <c r="O87" s="95">
        <f t="shared" si="12"/>
        <v>1215.24</v>
      </c>
      <c r="P87" s="95">
        <f t="shared" si="12"/>
        <v>1232.04</v>
      </c>
      <c r="Q87" s="95">
        <f t="shared" si="12"/>
        <v>1263.8399999999999</v>
      </c>
      <c r="R87" s="95">
        <f t="shared" si="12"/>
        <v>1206.8399999999999</v>
      </c>
      <c r="S87" s="95">
        <f t="shared" si="12"/>
        <v>1234.24</v>
      </c>
      <c r="T87" s="95">
        <f t="shared" si="12"/>
        <v>1238.2399999999998</v>
      </c>
      <c r="U87" s="95">
        <f t="shared" si="12"/>
        <v>1238.54</v>
      </c>
      <c r="V87" s="95">
        <f t="shared" si="12"/>
        <v>1275.1399999999999</v>
      </c>
      <c r="W87" s="95">
        <f t="shared" si="12"/>
        <v>1240.24</v>
      </c>
      <c r="X87" s="95">
        <f t="shared" si="12"/>
        <v>1274.6399999999999</v>
      </c>
      <c r="Y87" s="95">
        <f t="shared" si="12"/>
        <v>1459.44</v>
      </c>
      <c r="Z87" s="95">
        <f t="shared" si="12"/>
        <v>1442.3400000000001</v>
      </c>
      <c r="AA87" s="95">
        <f t="shared" si="12"/>
        <v>1407.6399999999999</v>
      </c>
      <c r="AB87" s="95">
        <f t="shared" si="12"/>
        <v>1399.34</v>
      </c>
      <c r="AC87" s="95">
        <f t="shared" si="12"/>
        <v>1298.74</v>
      </c>
      <c r="AD87" s="95">
        <f t="shared" si="12"/>
        <v>1291.74</v>
      </c>
      <c r="AE87" s="95">
        <f t="shared" si="12"/>
        <v>1155.7399999999998</v>
      </c>
      <c r="AF87" s="95">
        <f t="shared" si="12"/>
        <v>1060.74</v>
      </c>
      <c r="AG87" s="61">
        <f t="shared" si="12"/>
        <v>2065.09</v>
      </c>
      <c r="AH87" s="47">
        <f>MAX(B87:AF87)</f>
        <v>1459.44</v>
      </c>
      <c r="AI87" s="48">
        <f>MIN(B87:AF87)</f>
        <v>972.54</v>
      </c>
    </row>
    <row r="88" spans="1:40" ht="15.75" thickBot="1" x14ac:dyDescent="0.3">
      <c r="A88" s="96" t="s">
        <v>95</v>
      </c>
      <c r="B88" s="97">
        <v>50</v>
      </c>
      <c r="C88" s="97">
        <v>50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50</v>
      </c>
      <c r="L88" s="97">
        <v>80</v>
      </c>
      <c r="M88" s="97">
        <v>150</v>
      </c>
      <c r="N88" s="97">
        <v>150</v>
      </c>
      <c r="O88" s="97">
        <v>150</v>
      </c>
      <c r="P88" s="97">
        <v>150</v>
      </c>
      <c r="Q88" s="97">
        <v>100</v>
      </c>
      <c r="R88" s="97">
        <v>100</v>
      </c>
      <c r="S88" s="97">
        <v>100</v>
      </c>
      <c r="T88" s="97">
        <v>100</v>
      </c>
      <c r="U88" s="97">
        <v>100</v>
      </c>
      <c r="V88" s="97">
        <v>100</v>
      </c>
      <c r="W88" s="97">
        <v>100</v>
      </c>
      <c r="X88" s="97">
        <v>100</v>
      </c>
      <c r="Y88" s="97">
        <v>100</v>
      </c>
      <c r="Z88" s="97">
        <v>100</v>
      </c>
      <c r="AA88" s="97">
        <v>100</v>
      </c>
      <c r="AB88" s="97">
        <v>0</v>
      </c>
      <c r="AC88" s="97">
        <v>0</v>
      </c>
      <c r="AD88" s="97"/>
      <c r="AE88" s="97"/>
      <c r="AF88" s="97"/>
      <c r="AG88" s="88"/>
      <c r="AH88" s="47">
        <f t="shared" si="9"/>
        <v>150</v>
      </c>
      <c r="AI88" s="48">
        <f t="shared" si="10"/>
        <v>0</v>
      </c>
    </row>
    <row r="89" spans="1:40" ht="15.75" thickBot="1" x14ac:dyDescent="0.3">
      <c r="A89" s="74" t="s">
        <v>96</v>
      </c>
      <c r="B89" s="95">
        <f t="shared" ref="B89:AF89" si="13">B87+B88</f>
        <v>1036.94</v>
      </c>
      <c r="C89" s="95">
        <f t="shared" si="13"/>
        <v>1042.94</v>
      </c>
      <c r="D89" s="95">
        <f t="shared" si="13"/>
        <v>1054.94</v>
      </c>
      <c r="E89" s="95">
        <f t="shared" si="13"/>
        <v>1036.04</v>
      </c>
      <c r="F89" s="95">
        <f t="shared" si="13"/>
        <v>1022.54</v>
      </c>
      <c r="G89" s="95">
        <f t="shared" si="13"/>
        <v>1087.24</v>
      </c>
      <c r="H89" s="95">
        <f t="shared" si="13"/>
        <v>1201.8399999999999</v>
      </c>
      <c r="I89" s="95">
        <f t="shared" si="13"/>
        <v>1206.24</v>
      </c>
      <c r="J89" s="95">
        <f t="shared" si="13"/>
        <v>1242.24</v>
      </c>
      <c r="K89" s="95">
        <f t="shared" si="13"/>
        <v>1271.94</v>
      </c>
      <c r="L89" s="95">
        <f t="shared" si="13"/>
        <v>1409.54</v>
      </c>
      <c r="M89" s="95">
        <f t="shared" si="13"/>
        <v>1481.84</v>
      </c>
      <c r="N89" s="95">
        <f t="shared" si="13"/>
        <v>1453.7399999999998</v>
      </c>
      <c r="O89" s="95">
        <f t="shared" si="13"/>
        <v>1365.24</v>
      </c>
      <c r="P89" s="95">
        <f t="shared" si="13"/>
        <v>1382.04</v>
      </c>
      <c r="Q89" s="95">
        <f t="shared" si="13"/>
        <v>1363.84</v>
      </c>
      <c r="R89" s="95">
        <f t="shared" si="13"/>
        <v>1306.8399999999999</v>
      </c>
      <c r="S89" s="95">
        <f t="shared" si="13"/>
        <v>1334.24</v>
      </c>
      <c r="T89" s="95">
        <f t="shared" si="13"/>
        <v>1338.2399999999998</v>
      </c>
      <c r="U89" s="95">
        <f t="shared" si="13"/>
        <v>1338.54</v>
      </c>
      <c r="V89" s="95">
        <f t="shared" si="13"/>
        <v>1375.1399999999999</v>
      </c>
      <c r="W89" s="95">
        <f t="shared" si="13"/>
        <v>1340.24</v>
      </c>
      <c r="X89" s="95">
        <f t="shared" si="13"/>
        <v>1374.6399999999999</v>
      </c>
      <c r="Y89" s="95">
        <f t="shared" si="13"/>
        <v>1559.44</v>
      </c>
      <c r="Z89" s="95">
        <f t="shared" si="13"/>
        <v>1542.3400000000001</v>
      </c>
      <c r="AA89" s="95">
        <f t="shared" si="13"/>
        <v>1507.6399999999999</v>
      </c>
      <c r="AB89" s="95">
        <f t="shared" si="13"/>
        <v>1399.34</v>
      </c>
      <c r="AC89" s="95">
        <f t="shared" si="13"/>
        <v>1298.74</v>
      </c>
      <c r="AD89" s="95">
        <f t="shared" si="13"/>
        <v>1291.74</v>
      </c>
      <c r="AE89" s="95">
        <f t="shared" si="13"/>
        <v>1155.7399999999998</v>
      </c>
      <c r="AF89" s="95">
        <f t="shared" si="13"/>
        <v>1060.74</v>
      </c>
      <c r="AG89" s="88">
        <f>AG86+AG82+AG70+AG66+AG48+AG88</f>
        <v>1526.99</v>
      </c>
      <c r="AH89" s="47">
        <f t="shared" si="9"/>
        <v>1559.44</v>
      </c>
      <c r="AI89" s="48">
        <f t="shared" si="10"/>
        <v>1022.54</v>
      </c>
    </row>
    <row r="90" spans="1:40" ht="15.75" thickBot="1" x14ac:dyDescent="0.3">
      <c r="A90" s="74" t="s">
        <v>97</v>
      </c>
      <c r="B90" s="95">
        <f t="shared" ref="B90:AF90" si="14">B89-B97</f>
        <v>1036.94</v>
      </c>
      <c r="C90" s="95">
        <f t="shared" si="14"/>
        <v>1042.94</v>
      </c>
      <c r="D90" s="95">
        <f t="shared" si="14"/>
        <v>1054.94</v>
      </c>
      <c r="E90" s="95">
        <f t="shared" si="14"/>
        <v>1036.04</v>
      </c>
      <c r="F90" s="95">
        <f t="shared" si="14"/>
        <v>1022.54</v>
      </c>
      <c r="G90" s="95">
        <f t="shared" si="14"/>
        <v>1087.24</v>
      </c>
      <c r="H90" s="95">
        <f t="shared" si="14"/>
        <v>1201.8399999999999</v>
      </c>
      <c r="I90" s="95">
        <f t="shared" si="14"/>
        <v>1206.24</v>
      </c>
      <c r="J90" s="95">
        <f t="shared" si="14"/>
        <v>1242.24</v>
      </c>
      <c r="K90" s="95">
        <f t="shared" si="14"/>
        <v>1271.94</v>
      </c>
      <c r="L90" s="95">
        <f t="shared" si="14"/>
        <v>1409.54</v>
      </c>
      <c r="M90" s="95">
        <f t="shared" si="14"/>
        <v>1481.84</v>
      </c>
      <c r="N90" s="95">
        <f t="shared" si="14"/>
        <v>1453.7399999999998</v>
      </c>
      <c r="O90" s="95">
        <f t="shared" si="14"/>
        <v>1365.24</v>
      </c>
      <c r="P90" s="95">
        <f t="shared" si="14"/>
        <v>1382.04</v>
      </c>
      <c r="Q90" s="95">
        <f t="shared" si="14"/>
        <v>1363.84</v>
      </c>
      <c r="R90" s="95">
        <f t="shared" si="14"/>
        <v>1306.8399999999999</v>
      </c>
      <c r="S90" s="95">
        <f t="shared" si="14"/>
        <v>1334.24</v>
      </c>
      <c r="T90" s="95">
        <f t="shared" si="14"/>
        <v>1338.2399999999998</v>
      </c>
      <c r="U90" s="95">
        <f t="shared" si="14"/>
        <v>1338.54</v>
      </c>
      <c r="V90" s="95">
        <f t="shared" si="14"/>
        <v>1375.1399999999999</v>
      </c>
      <c r="W90" s="95">
        <f t="shared" si="14"/>
        <v>1340.24</v>
      </c>
      <c r="X90" s="95">
        <f t="shared" si="14"/>
        <v>1374.6399999999999</v>
      </c>
      <c r="Y90" s="95">
        <f t="shared" si="14"/>
        <v>1559.44</v>
      </c>
      <c r="Z90" s="95">
        <f t="shared" si="14"/>
        <v>1542.3400000000001</v>
      </c>
      <c r="AA90" s="95">
        <f t="shared" si="14"/>
        <v>1507.6399999999999</v>
      </c>
      <c r="AB90" s="95">
        <f t="shared" si="14"/>
        <v>1399.34</v>
      </c>
      <c r="AC90" s="95">
        <f t="shared" si="14"/>
        <v>1298.74</v>
      </c>
      <c r="AD90" s="95">
        <f t="shared" si="14"/>
        <v>1291.74</v>
      </c>
      <c r="AE90" s="95">
        <f t="shared" si="14"/>
        <v>1155.7399999999998</v>
      </c>
      <c r="AF90" s="95">
        <f t="shared" si="14"/>
        <v>1060.74</v>
      </c>
      <c r="AG90" s="88"/>
      <c r="AH90" s="47">
        <f t="shared" si="9"/>
        <v>1559.44</v>
      </c>
      <c r="AI90" s="48">
        <f t="shared" si="10"/>
        <v>1022.54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9"/>
        <v>0</v>
      </c>
      <c r="AI91" s="48">
        <f t="shared" si="1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9"/>
        <v>0</v>
      </c>
      <c r="AI92" s="48">
        <f t="shared" si="1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9"/>
        <v>0</v>
      </c>
      <c r="AI93" s="48">
        <f t="shared" si="1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9"/>
        <v>0</v>
      </c>
      <c r="AI96" s="48">
        <f t="shared" si="1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9"/>
        <v>0</v>
      </c>
      <c r="AI97" s="48">
        <f t="shared" si="10"/>
        <v>0</v>
      </c>
      <c r="AK97" s="49"/>
    </row>
    <row r="98" spans="1:37" ht="15.75" thickBot="1" x14ac:dyDescent="0.3">
      <c r="A98" s="74" t="s">
        <v>102</v>
      </c>
      <c r="B98" s="60">
        <f t="shared" ref="B98:AF98" si="15">B82-B97</f>
        <v>442</v>
      </c>
      <c r="C98" s="60">
        <f t="shared" si="15"/>
        <v>423</v>
      </c>
      <c r="D98" s="60">
        <f t="shared" si="15"/>
        <v>425</v>
      </c>
      <c r="E98" s="60">
        <f t="shared" si="15"/>
        <v>415.3</v>
      </c>
      <c r="F98" s="60">
        <f t="shared" si="15"/>
        <v>415.5</v>
      </c>
      <c r="G98" s="60">
        <f t="shared" si="15"/>
        <v>447.8</v>
      </c>
      <c r="H98" s="60">
        <f t="shared" si="15"/>
        <v>450</v>
      </c>
      <c r="I98" s="60">
        <f t="shared" si="15"/>
        <v>454</v>
      </c>
      <c r="J98" s="60">
        <f t="shared" si="15"/>
        <v>476</v>
      </c>
      <c r="K98" s="60">
        <f t="shared" si="15"/>
        <v>484.9</v>
      </c>
      <c r="L98" s="60">
        <f t="shared" si="15"/>
        <v>558.4</v>
      </c>
      <c r="M98" s="60">
        <f t="shared" si="15"/>
        <v>546.6</v>
      </c>
      <c r="N98" s="60">
        <f t="shared" si="15"/>
        <v>546.6</v>
      </c>
      <c r="O98" s="60">
        <f t="shared" si="15"/>
        <v>542</v>
      </c>
      <c r="P98" s="60">
        <f t="shared" si="15"/>
        <v>546.5</v>
      </c>
      <c r="Q98" s="60">
        <f t="shared" si="15"/>
        <v>573.5</v>
      </c>
      <c r="R98" s="60">
        <f t="shared" si="15"/>
        <v>546</v>
      </c>
      <c r="S98" s="60">
        <f t="shared" si="15"/>
        <v>550.5</v>
      </c>
      <c r="T98" s="60">
        <f t="shared" si="15"/>
        <v>553.4</v>
      </c>
      <c r="U98" s="60">
        <f t="shared" si="15"/>
        <v>553.70000000000005</v>
      </c>
      <c r="V98" s="60">
        <f t="shared" si="15"/>
        <v>543.5</v>
      </c>
      <c r="W98" s="60">
        <f t="shared" si="15"/>
        <v>517</v>
      </c>
      <c r="X98" s="60">
        <f t="shared" si="15"/>
        <v>541</v>
      </c>
      <c r="Y98" s="60">
        <f t="shared" si="15"/>
        <v>573.29999999999995</v>
      </c>
      <c r="Z98" s="60">
        <f t="shared" si="15"/>
        <v>552.70000000000005</v>
      </c>
      <c r="AA98" s="60">
        <f t="shared" si="15"/>
        <v>559.4</v>
      </c>
      <c r="AB98" s="60">
        <f t="shared" si="15"/>
        <v>561</v>
      </c>
      <c r="AC98" s="60">
        <f t="shared" si="15"/>
        <v>542</v>
      </c>
      <c r="AD98" s="60">
        <f t="shared" si="15"/>
        <v>560</v>
      </c>
      <c r="AE98" s="60">
        <f t="shared" si="15"/>
        <v>551</v>
      </c>
      <c r="AF98" s="60">
        <f t="shared" si="15"/>
        <v>534</v>
      </c>
      <c r="AG98" s="88"/>
      <c r="AH98" s="47">
        <f t="shared" si="9"/>
        <v>573.5</v>
      </c>
      <c r="AI98" s="48">
        <f t="shared" si="10"/>
        <v>415.3</v>
      </c>
    </row>
    <row r="99" spans="1:37" x14ac:dyDescent="0.25">
      <c r="A99" s="100" t="s">
        <v>103</v>
      </c>
      <c r="B99" s="101">
        <v>50.116999999999997</v>
      </c>
      <c r="C99" s="101">
        <v>49.987000000000002</v>
      </c>
      <c r="D99" s="101">
        <v>49.973999999999997</v>
      </c>
      <c r="E99" s="101">
        <v>49.951999999999998</v>
      </c>
      <c r="F99" s="101">
        <v>50.008000000000003</v>
      </c>
      <c r="G99" s="101">
        <v>49.988</v>
      </c>
      <c r="H99" s="101">
        <v>50.223999999999997</v>
      </c>
      <c r="I99" s="101">
        <v>50.223999999999997</v>
      </c>
      <c r="J99" s="101">
        <v>50.223999999999997</v>
      </c>
      <c r="K99" s="101">
        <v>50</v>
      </c>
      <c r="L99" s="101">
        <v>49.997999999999998</v>
      </c>
      <c r="M99" s="101">
        <v>49.997999999999998</v>
      </c>
      <c r="N99" s="101">
        <v>49.95</v>
      </c>
      <c r="O99" s="101">
        <v>50.067</v>
      </c>
      <c r="P99" s="101">
        <v>49.973999999999997</v>
      </c>
      <c r="Q99" s="101">
        <v>49.984000000000002</v>
      </c>
      <c r="R99" s="101">
        <v>49.951999999999998</v>
      </c>
      <c r="S99" s="101">
        <v>50.037999999999997</v>
      </c>
      <c r="T99" s="101">
        <v>49.976999999999997</v>
      </c>
      <c r="U99" s="101">
        <v>49.908999999999999</v>
      </c>
      <c r="V99" s="101">
        <v>50.054000000000002</v>
      </c>
      <c r="W99" s="101">
        <v>50.04</v>
      </c>
      <c r="X99" s="101">
        <v>49.93</v>
      </c>
      <c r="Y99" s="101">
        <v>49.802</v>
      </c>
      <c r="Z99" s="101">
        <v>50.036000000000001</v>
      </c>
      <c r="AA99" s="101">
        <v>50.005000000000003</v>
      </c>
      <c r="AB99" s="101">
        <v>50.01</v>
      </c>
      <c r="AC99" s="101">
        <v>50.01</v>
      </c>
      <c r="AD99" s="101">
        <v>50.08</v>
      </c>
      <c r="AE99" s="101">
        <v>49.9</v>
      </c>
      <c r="AF99" s="101">
        <v>49.9</v>
      </c>
      <c r="AG99" s="102"/>
      <c r="AH99" s="47">
        <f t="shared" si="9"/>
        <v>50.223999999999997</v>
      </c>
      <c r="AI99" s="48">
        <f t="shared" si="10"/>
        <v>49.802</v>
      </c>
    </row>
    <row r="100" spans="1:37" x14ac:dyDescent="0.25">
      <c r="A100" s="103" t="s">
        <v>104</v>
      </c>
      <c r="B100" s="65">
        <v>132.30000000000001</v>
      </c>
      <c r="C100" s="65">
        <v>129.6</v>
      </c>
      <c r="D100" s="65">
        <v>128.30000000000001</v>
      </c>
      <c r="E100" s="65">
        <v>127.5</v>
      </c>
      <c r="F100" s="65">
        <v>128.80000000000001</v>
      </c>
      <c r="G100" s="65">
        <v>126.8</v>
      </c>
      <c r="H100" s="65">
        <v>127.2</v>
      </c>
      <c r="I100" s="65">
        <v>127.2</v>
      </c>
      <c r="J100" s="65">
        <v>127.2</v>
      </c>
      <c r="K100" s="65">
        <v>126.2</v>
      </c>
      <c r="L100" s="65">
        <v>125.5</v>
      </c>
      <c r="M100" s="65">
        <v>125.5</v>
      </c>
      <c r="N100" s="65">
        <v>125.5</v>
      </c>
      <c r="O100" s="65">
        <v>125.5</v>
      </c>
      <c r="P100" s="65">
        <v>125.5</v>
      </c>
      <c r="Q100" s="65">
        <v>125.5</v>
      </c>
      <c r="R100" s="65">
        <v>126.5</v>
      </c>
      <c r="S100" s="65">
        <v>126</v>
      </c>
      <c r="T100" s="65">
        <v>127.6</v>
      </c>
      <c r="U100" s="65">
        <v>125.9</v>
      </c>
      <c r="V100" s="65">
        <v>127.5</v>
      </c>
      <c r="W100" s="65">
        <v>129.5</v>
      </c>
      <c r="X100" s="65">
        <v>128.6</v>
      </c>
      <c r="Y100" s="65">
        <v>127.3</v>
      </c>
      <c r="Z100" s="65">
        <v>127.6</v>
      </c>
      <c r="AA100" s="65">
        <v>127.3</v>
      </c>
      <c r="AB100" s="65">
        <v>127.4</v>
      </c>
      <c r="AC100" s="65">
        <v>129</v>
      </c>
      <c r="AD100" s="65">
        <v>129</v>
      </c>
      <c r="AE100" s="65">
        <v>129.4</v>
      </c>
      <c r="AF100" s="65">
        <v>129.4</v>
      </c>
      <c r="AG100" s="104"/>
      <c r="AH100" s="47">
        <f t="shared" si="9"/>
        <v>132.30000000000001</v>
      </c>
      <c r="AI100" s="48">
        <f t="shared" si="10"/>
        <v>125.5</v>
      </c>
    </row>
    <row r="101" spans="1:37" x14ac:dyDescent="0.25">
      <c r="A101" s="103" t="s">
        <v>105</v>
      </c>
      <c r="B101" s="65">
        <v>135.19999999999999</v>
      </c>
      <c r="C101" s="65">
        <v>133.30000000000001</v>
      </c>
      <c r="D101" s="65">
        <v>132.4</v>
      </c>
      <c r="E101" s="65">
        <v>131.69999999999999</v>
      </c>
      <c r="F101" s="65">
        <v>132.69999999999999</v>
      </c>
      <c r="G101" s="65">
        <v>131.19999999999999</v>
      </c>
      <c r="H101" s="65">
        <v>130.69999999999999</v>
      </c>
      <c r="I101" s="65">
        <v>130.69999999999999</v>
      </c>
      <c r="J101" s="65">
        <v>130.69999999999999</v>
      </c>
      <c r="K101" s="65">
        <v>128.9</v>
      </c>
      <c r="L101" s="65">
        <v>127.9</v>
      </c>
      <c r="M101" s="65">
        <v>127.9</v>
      </c>
      <c r="N101" s="65">
        <v>127.9</v>
      </c>
      <c r="O101" s="65">
        <v>127.9</v>
      </c>
      <c r="P101" s="65">
        <v>127.9</v>
      </c>
      <c r="Q101" s="65">
        <v>127.9</v>
      </c>
      <c r="R101" s="65">
        <v>129.30000000000001</v>
      </c>
      <c r="S101" s="65">
        <v>129</v>
      </c>
      <c r="T101" s="65">
        <v>130.4</v>
      </c>
      <c r="U101" s="65">
        <v>129</v>
      </c>
      <c r="V101" s="65">
        <v>130</v>
      </c>
      <c r="W101" s="65">
        <v>131.4</v>
      </c>
      <c r="X101" s="65">
        <v>130.80000000000001</v>
      </c>
      <c r="Y101" s="65">
        <v>130.30000000000001</v>
      </c>
      <c r="Z101" s="65">
        <v>130.4</v>
      </c>
      <c r="AA101" s="65">
        <v>130.19999999999999</v>
      </c>
      <c r="AB101" s="65">
        <v>130.80000000000001</v>
      </c>
      <c r="AC101" s="65">
        <v>131</v>
      </c>
      <c r="AD101" s="65">
        <v>131</v>
      </c>
      <c r="AE101" s="65">
        <v>132.6</v>
      </c>
      <c r="AF101" s="65">
        <v>132.6</v>
      </c>
      <c r="AG101" s="104"/>
      <c r="AH101" s="47">
        <f t="shared" si="9"/>
        <v>135.19999999999999</v>
      </c>
      <c r="AI101" s="48">
        <f t="shared" si="10"/>
        <v>127.9</v>
      </c>
    </row>
    <row r="102" spans="1:37" x14ac:dyDescent="0.25">
      <c r="A102" s="103" t="s">
        <v>106</v>
      </c>
      <c r="B102" s="65">
        <v>130.80000000000001</v>
      </c>
      <c r="C102" s="65">
        <v>130.5</v>
      </c>
      <c r="D102" s="65">
        <v>128.80000000000001</v>
      </c>
      <c r="E102" s="65">
        <v>133.5</v>
      </c>
      <c r="F102" s="65">
        <v>130.6</v>
      </c>
      <c r="G102" s="65">
        <v>129.9</v>
      </c>
      <c r="H102" s="65">
        <v>127.2</v>
      </c>
      <c r="I102" s="65">
        <v>127.2</v>
      </c>
      <c r="J102" s="65">
        <v>127.2</v>
      </c>
      <c r="K102" s="65">
        <v>128</v>
      </c>
      <c r="L102" s="65">
        <v>124.5</v>
      </c>
      <c r="M102" s="65">
        <v>124.5</v>
      </c>
      <c r="N102" s="65">
        <v>124.5</v>
      </c>
      <c r="O102" s="65">
        <v>124.5</v>
      </c>
      <c r="P102" s="65">
        <v>124.5</v>
      </c>
      <c r="Q102" s="65">
        <v>124.5</v>
      </c>
      <c r="R102" s="65">
        <v>127.5</v>
      </c>
      <c r="S102" s="65">
        <v>127</v>
      </c>
      <c r="T102" s="65">
        <v>128.30000000000001</v>
      </c>
      <c r="U102" s="65">
        <v>129.19999999999999</v>
      </c>
      <c r="V102" s="65">
        <v>131</v>
      </c>
      <c r="W102" s="65">
        <v>130</v>
      </c>
      <c r="X102" s="65">
        <v>128.19999999999999</v>
      </c>
      <c r="Y102" s="65">
        <v>127</v>
      </c>
      <c r="Z102" s="65">
        <v>130</v>
      </c>
      <c r="AA102" s="65">
        <v>126.3</v>
      </c>
      <c r="AB102" s="65">
        <v>127.8</v>
      </c>
      <c r="AC102" s="65">
        <v>131</v>
      </c>
      <c r="AD102" s="65">
        <v>131</v>
      </c>
      <c r="AE102" s="65">
        <v>131</v>
      </c>
      <c r="AF102" s="65">
        <v>131</v>
      </c>
      <c r="AG102" s="104"/>
      <c r="AH102" s="47">
        <f t="shared" si="9"/>
        <v>133.5</v>
      </c>
      <c r="AI102" s="48">
        <f t="shared" si="10"/>
        <v>124.5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9"/>
        <v>0</v>
      </c>
      <c r="AI103" s="48">
        <f t="shared" si="10"/>
        <v>0</v>
      </c>
    </row>
    <row r="104" spans="1:37" x14ac:dyDescent="0.25">
      <c r="A104" s="105" t="s">
        <v>108</v>
      </c>
      <c r="B104" s="106">
        <v>134.4</v>
      </c>
      <c r="C104" s="106">
        <v>133.9</v>
      </c>
      <c r="D104" s="106">
        <v>134</v>
      </c>
      <c r="E104" s="106">
        <v>132.19999999999999</v>
      </c>
      <c r="F104" s="106">
        <v>134</v>
      </c>
      <c r="G104" s="106">
        <v>132.4</v>
      </c>
      <c r="H104" s="106">
        <v>135.80000000000001</v>
      </c>
      <c r="I104" s="106">
        <v>135.80000000000001</v>
      </c>
      <c r="J104" s="106">
        <v>135.80000000000001</v>
      </c>
      <c r="K104" s="106">
        <v>133.1</v>
      </c>
      <c r="L104" s="106">
        <v>132.19999999999999</v>
      </c>
      <c r="M104" s="106">
        <v>132.19999999999999</v>
      </c>
      <c r="N104" s="106">
        <v>132.19999999999999</v>
      </c>
      <c r="O104" s="106">
        <v>132.19999999999999</v>
      </c>
      <c r="P104" s="106">
        <v>132.19999999999999</v>
      </c>
      <c r="Q104" s="106">
        <v>132.19999999999999</v>
      </c>
      <c r="R104" s="106">
        <v>135.69999999999999</v>
      </c>
      <c r="S104" s="106">
        <v>136</v>
      </c>
      <c r="T104" s="106">
        <v>136.69999999999999</v>
      </c>
      <c r="U104" s="106">
        <v>136</v>
      </c>
      <c r="V104" s="106">
        <v>136</v>
      </c>
      <c r="W104" s="106">
        <v>138.1</v>
      </c>
      <c r="X104" s="106">
        <v>135.30000000000001</v>
      </c>
      <c r="Y104" s="106">
        <v>132.80000000000001</v>
      </c>
      <c r="Z104" s="106">
        <v>134.5</v>
      </c>
      <c r="AA104" s="106">
        <v>134</v>
      </c>
      <c r="AB104" s="106">
        <v>134.6</v>
      </c>
      <c r="AC104" s="106">
        <v>133</v>
      </c>
      <c r="AD104" s="106">
        <v>133</v>
      </c>
      <c r="AE104" s="106">
        <v>133.5</v>
      </c>
      <c r="AF104" s="106">
        <v>133.5</v>
      </c>
      <c r="AG104" s="107"/>
      <c r="AH104" s="47">
        <f t="shared" si="9"/>
        <v>138.1</v>
      </c>
      <c r="AI104" s="48">
        <f t="shared" si="10"/>
        <v>132.19999999999999</v>
      </c>
    </row>
    <row r="105" spans="1:37" x14ac:dyDescent="0.25">
      <c r="A105" s="103" t="s">
        <v>109</v>
      </c>
      <c r="B105" s="65">
        <v>132.5</v>
      </c>
      <c r="C105" s="65">
        <v>134.4</v>
      </c>
      <c r="D105" s="65">
        <v>135.19999999999999</v>
      </c>
      <c r="E105" s="65">
        <v>136.30000000000001</v>
      </c>
      <c r="F105" s="65">
        <v>138.69999999999999</v>
      </c>
      <c r="G105" s="65">
        <v>135.5</v>
      </c>
      <c r="H105" s="65">
        <v>127.2</v>
      </c>
      <c r="I105" s="65">
        <v>127.2</v>
      </c>
      <c r="J105" s="65">
        <v>127.2</v>
      </c>
      <c r="K105" s="65">
        <v>129.1</v>
      </c>
      <c r="L105" s="65">
        <v>131.4</v>
      </c>
      <c r="M105" s="65">
        <v>131.4</v>
      </c>
      <c r="N105" s="65">
        <v>131.4</v>
      </c>
      <c r="O105" s="65">
        <v>131.4</v>
      </c>
      <c r="P105" s="65">
        <v>131.4</v>
      </c>
      <c r="Q105" s="65">
        <v>131.4</v>
      </c>
      <c r="R105" s="65">
        <v>131.69999999999999</v>
      </c>
      <c r="S105" s="65">
        <v>131</v>
      </c>
      <c r="T105" s="65">
        <v>134.6</v>
      </c>
      <c r="U105" s="65">
        <v>131.4</v>
      </c>
      <c r="V105" s="65">
        <v>134</v>
      </c>
      <c r="W105" s="65">
        <v>138.1</v>
      </c>
      <c r="X105" s="65">
        <v>136.30000000000001</v>
      </c>
      <c r="Y105" s="65">
        <v>129.19999999999999</v>
      </c>
      <c r="Z105" s="65">
        <v>133</v>
      </c>
      <c r="AA105" s="65">
        <v>134.30000000000001</v>
      </c>
      <c r="AB105" s="65">
        <v>133</v>
      </c>
      <c r="AC105" s="65">
        <v>135</v>
      </c>
      <c r="AD105" s="65">
        <v>135</v>
      </c>
      <c r="AE105" s="65">
        <v>133.6</v>
      </c>
      <c r="AF105" s="65">
        <v>133.6</v>
      </c>
      <c r="AG105" s="104"/>
      <c r="AH105" s="47">
        <f t="shared" si="9"/>
        <v>138.69999999999999</v>
      </c>
      <c r="AI105" s="48">
        <f t="shared" si="10"/>
        <v>127.2</v>
      </c>
    </row>
    <row r="106" spans="1:37" ht="15.75" thickBot="1" x14ac:dyDescent="0.3">
      <c r="A106" s="103" t="s">
        <v>110</v>
      </c>
      <c r="B106" s="92">
        <v>67.900000000000006</v>
      </c>
      <c r="C106" s="92">
        <v>67.2</v>
      </c>
      <c r="D106" s="92">
        <v>66.2</v>
      </c>
      <c r="E106" s="92">
        <v>65.900000000000006</v>
      </c>
      <c r="F106" s="92">
        <v>66.3</v>
      </c>
      <c r="G106" s="92">
        <v>65.599999999999994</v>
      </c>
      <c r="H106" s="92">
        <v>65.400000000000006</v>
      </c>
      <c r="I106" s="92">
        <v>65.400000000000006</v>
      </c>
      <c r="J106" s="92">
        <v>65.400000000000006</v>
      </c>
      <c r="K106" s="92">
        <v>64.7</v>
      </c>
      <c r="L106" s="92">
        <v>64.400000000000006</v>
      </c>
      <c r="M106" s="92">
        <v>64.400000000000006</v>
      </c>
      <c r="N106" s="92">
        <v>64.400000000000006</v>
      </c>
      <c r="O106" s="92">
        <v>64.400000000000006</v>
      </c>
      <c r="P106" s="92">
        <v>64.400000000000006</v>
      </c>
      <c r="Q106" s="92">
        <v>64.400000000000006</v>
      </c>
      <c r="R106" s="92">
        <v>65</v>
      </c>
      <c r="S106" s="92">
        <v>65</v>
      </c>
      <c r="T106" s="92">
        <v>65.5</v>
      </c>
      <c r="U106" s="92">
        <v>64.8</v>
      </c>
      <c r="V106" s="92">
        <v>65.3</v>
      </c>
      <c r="W106" s="92">
        <v>66</v>
      </c>
      <c r="X106" s="92">
        <v>65.7</v>
      </c>
      <c r="Y106" s="92">
        <v>65.400000000000006</v>
      </c>
      <c r="Z106" s="92">
        <v>66</v>
      </c>
      <c r="AA106" s="92">
        <v>65.400000000000006</v>
      </c>
      <c r="AB106" s="92">
        <v>65.599999999999994</v>
      </c>
      <c r="AC106" s="92">
        <v>65.900000000000006</v>
      </c>
      <c r="AD106" s="92">
        <v>65.900000000000006</v>
      </c>
      <c r="AE106" s="92">
        <v>66.2</v>
      </c>
      <c r="AF106" s="92">
        <v>66.2</v>
      </c>
      <c r="AG106" s="108"/>
      <c r="AH106" s="47">
        <f t="shared" si="9"/>
        <v>67.900000000000006</v>
      </c>
      <c r="AI106" s="48">
        <f t="shared" si="10"/>
        <v>64.400000000000006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9"/>
        <v>0</v>
      </c>
      <c r="AI107" s="48">
        <f t="shared" si="10"/>
        <v>0</v>
      </c>
    </row>
    <row r="108" spans="1:37" ht="15.75" thickBot="1" x14ac:dyDescent="0.3">
      <c r="A108" s="110"/>
      <c r="B108" s="111">
        <f t="shared" ref="B108:AF108" si="16">SUM(B18,B24,B27:B28,B56,B58:B59,B61,B63,B109:B113,B135,B141,B147,B156,B158,B170,B177,B180:B181,B188,B190,B192,B196:B198,B200:B202,B207,B213:B214,B216:B218,B226,B231)</f>
        <v>122.2</v>
      </c>
      <c r="C108" s="111">
        <f t="shared" si="16"/>
        <v>107.14</v>
      </c>
      <c r="D108" s="111">
        <f t="shared" si="16"/>
        <v>105.54</v>
      </c>
      <c r="E108" s="111">
        <f t="shared" si="16"/>
        <v>110.33999999999997</v>
      </c>
      <c r="F108" s="111">
        <f t="shared" si="16"/>
        <v>116.13999999999999</v>
      </c>
      <c r="G108" s="111">
        <f t="shared" si="16"/>
        <v>141.53999999999996</v>
      </c>
      <c r="H108" s="111">
        <f t="shared" si="16"/>
        <v>212.26</v>
      </c>
      <c r="I108" s="111">
        <f t="shared" si="16"/>
        <v>260.23999999999995</v>
      </c>
      <c r="J108" s="111">
        <f t="shared" si="16"/>
        <v>275.83999999999997</v>
      </c>
      <c r="K108" s="111">
        <f t="shared" si="16"/>
        <v>285.73999999999995</v>
      </c>
      <c r="L108" s="111">
        <f t="shared" si="16"/>
        <v>306.74</v>
      </c>
      <c r="M108" s="111">
        <f t="shared" si="16"/>
        <v>306.83999999999997</v>
      </c>
      <c r="N108" s="111">
        <f t="shared" si="16"/>
        <v>280.54000000000002</v>
      </c>
      <c r="O108" s="111">
        <f t="shared" si="16"/>
        <v>280.54000000000002</v>
      </c>
      <c r="P108" s="111">
        <v>42</v>
      </c>
      <c r="Q108" s="111">
        <f t="shared" si="16"/>
        <v>294.39999999999998</v>
      </c>
      <c r="R108" s="111">
        <f t="shared" si="16"/>
        <v>256.5</v>
      </c>
      <c r="S108" s="111">
        <f t="shared" si="16"/>
        <v>248.79999999999998</v>
      </c>
      <c r="T108" s="111">
        <f t="shared" si="16"/>
        <v>248.9</v>
      </c>
      <c r="U108" s="111">
        <f t="shared" si="16"/>
        <v>265.60000000000002</v>
      </c>
      <c r="V108" s="111">
        <f t="shared" si="16"/>
        <v>269.3</v>
      </c>
      <c r="W108" s="111">
        <f t="shared" si="16"/>
        <v>280.3</v>
      </c>
      <c r="X108" s="111">
        <f t="shared" si="16"/>
        <v>281.2</v>
      </c>
      <c r="Y108" s="111">
        <f t="shared" si="16"/>
        <v>331.70000000000005</v>
      </c>
      <c r="Z108" s="111">
        <f t="shared" si="16"/>
        <v>340.6</v>
      </c>
      <c r="AA108" s="111">
        <f t="shared" si="16"/>
        <v>323.5</v>
      </c>
      <c r="AB108" s="111">
        <f t="shared" si="16"/>
        <v>289</v>
      </c>
      <c r="AC108" s="111">
        <f t="shared" si="16"/>
        <v>255.5</v>
      </c>
      <c r="AD108" s="111">
        <f t="shared" si="16"/>
        <v>241.9</v>
      </c>
      <c r="AE108" s="111">
        <f t="shared" si="16"/>
        <v>196.5</v>
      </c>
      <c r="AF108" s="111">
        <f t="shared" si="16"/>
        <v>151.5</v>
      </c>
      <c r="AG108" s="112"/>
      <c r="AH108" s="47">
        <f t="shared" si="9"/>
        <v>340.6</v>
      </c>
      <c r="AI108" s="48">
        <f t="shared" si="10"/>
        <v>42</v>
      </c>
    </row>
    <row r="109" spans="1:37" x14ac:dyDescent="0.25">
      <c r="A109" s="100" t="s">
        <v>113</v>
      </c>
      <c r="B109" s="113">
        <v>-19.7</v>
      </c>
      <c r="C109" s="113">
        <v>-21.1</v>
      </c>
      <c r="D109" s="113">
        <v>-23.5</v>
      </c>
      <c r="E109" s="113">
        <v>-20.399999999999999</v>
      </c>
      <c r="F109" s="113">
        <v>-22.8</v>
      </c>
      <c r="G109" s="113">
        <v>-16.2</v>
      </c>
      <c r="H109" s="113">
        <v>4</v>
      </c>
      <c r="I109" s="113">
        <v>9</v>
      </c>
      <c r="J109" s="113">
        <v>8</v>
      </c>
      <c r="K109" s="113">
        <v>10.6</v>
      </c>
      <c r="L109" s="113">
        <v>13.8</v>
      </c>
      <c r="M109" s="113">
        <v>14.9</v>
      </c>
      <c r="N109" s="113">
        <v>11.1</v>
      </c>
      <c r="O109" s="113">
        <v>11.1</v>
      </c>
      <c r="P109" s="113">
        <v>11.1</v>
      </c>
      <c r="Q109" s="113">
        <v>11.1</v>
      </c>
      <c r="R109" s="113">
        <v>-4.3</v>
      </c>
      <c r="S109" s="113">
        <v>-5.2</v>
      </c>
      <c r="T109" s="113">
        <v>-3.7</v>
      </c>
      <c r="U109" s="113">
        <v>-3.1</v>
      </c>
      <c r="V109" s="113">
        <v>-4.2</v>
      </c>
      <c r="W109" s="113">
        <v>4</v>
      </c>
      <c r="X109" s="113">
        <v>17.2</v>
      </c>
      <c r="Y109" s="113">
        <v>16.399999999999999</v>
      </c>
      <c r="Z109" s="113">
        <v>21.1</v>
      </c>
      <c r="AA109" s="113">
        <v>18</v>
      </c>
      <c r="AB109" s="113">
        <v>19.899999999999999</v>
      </c>
      <c r="AC109" s="113">
        <v>15</v>
      </c>
      <c r="AD109" s="113">
        <v>15</v>
      </c>
      <c r="AE109" s="113">
        <v>0</v>
      </c>
      <c r="AF109" s="113">
        <v>-18</v>
      </c>
      <c r="AG109" s="114">
        <v>75</v>
      </c>
      <c r="AH109" s="47">
        <f t="shared" si="9"/>
        <v>21.1</v>
      </c>
      <c r="AI109" s="48">
        <f t="shared" si="10"/>
        <v>-23.5</v>
      </c>
    </row>
    <row r="110" spans="1:37" x14ac:dyDescent="0.25">
      <c r="A110" s="103" t="s">
        <v>114</v>
      </c>
      <c r="B110" s="115">
        <v>-25.3</v>
      </c>
      <c r="C110" s="115">
        <v>-26.3</v>
      </c>
      <c r="D110" s="115">
        <v>-28.7</v>
      </c>
      <c r="E110" s="115">
        <v>-24.4</v>
      </c>
      <c r="F110" s="115">
        <v>-27.5</v>
      </c>
      <c r="G110" s="115">
        <v>-21.9</v>
      </c>
      <c r="H110" s="115">
        <v>5.32</v>
      </c>
      <c r="I110" s="115">
        <v>5.6</v>
      </c>
      <c r="J110" s="115">
        <v>3.6</v>
      </c>
      <c r="K110" s="115">
        <v>4.8</v>
      </c>
      <c r="L110" s="115">
        <v>10.199999999999999</v>
      </c>
      <c r="M110" s="115">
        <v>12</v>
      </c>
      <c r="N110" s="115">
        <v>10</v>
      </c>
      <c r="O110" s="115">
        <v>10</v>
      </c>
      <c r="P110" s="115">
        <v>10</v>
      </c>
      <c r="Q110" s="115">
        <v>10</v>
      </c>
      <c r="R110" s="115">
        <v>-1.6</v>
      </c>
      <c r="S110" s="115">
        <v>-4.2</v>
      </c>
      <c r="T110" s="115">
        <v>-2.8</v>
      </c>
      <c r="U110" s="115">
        <v>-2.6</v>
      </c>
      <c r="V110" s="115">
        <v>-6.3</v>
      </c>
      <c r="W110" s="115">
        <v>0</v>
      </c>
      <c r="X110" s="115">
        <v>18.5</v>
      </c>
      <c r="Y110" s="115">
        <v>14.3</v>
      </c>
      <c r="Z110" s="115">
        <v>21</v>
      </c>
      <c r="AA110" s="115">
        <v>17</v>
      </c>
      <c r="AB110" s="115">
        <v>21.6</v>
      </c>
      <c r="AC110" s="115">
        <v>15</v>
      </c>
      <c r="AD110" s="115">
        <v>15.4</v>
      </c>
      <c r="AE110" s="115">
        <v>-6</v>
      </c>
      <c r="AF110" s="115">
        <v>-25</v>
      </c>
      <c r="AG110" s="114">
        <v>240</v>
      </c>
      <c r="AH110" s="47">
        <f t="shared" si="9"/>
        <v>21.6</v>
      </c>
      <c r="AI110" s="48">
        <f t="shared" si="10"/>
        <v>-28.7</v>
      </c>
    </row>
    <row r="111" spans="1:37" x14ac:dyDescent="0.25">
      <c r="A111" s="103" t="s">
        <v>115</v>
      </c>
      <c r="B111" s="115">
        <v>-1</v>
      </c>
      <c r="C111" s="115">
        <v>-22</v>
      </c>
      <c r="D111" s="115">
        <v>-24</v>
      </c>
      <c r="E111" s="115">
        <v>-30.3</v>
      </c>
      <c r="F111" s="115">
        <v>-22.1</v>
      </c>
      <c r="G111" s="115">
        <v>-18.8</v>
      </c>
      <c r="H111" s="115">
        <v>-5.2</v>
      </c>
      <c r="I111" s="115">
        <v>20</v>
      </c>
      <c r="J111" s="115">
        <v>42.6</v>
      </c>
      <c r="K111" s="115">
        <v>44.2</v>
      </c>
      <c r="L111" s="115">
        <v>46</v>
      </c>
      <c r="M111" s="115">
        <v>48</v>
      </c>
      <c r="N111" s="115">
        <v>37.700000000000003</v>
      </c>
      <c r="O111" s="115">
        <v>37.700000000000003</v>
      </c>
      <c r="P111" s="115">
        <v>37.700000000000003</v>
      </c>
      <c r="Q111" s="115">
        <v>37.700000000000003</v>
      </c>
      <c r="R111" s="115">
        <v>20.5</v>
      </c>
      <c r="S111" s="115">
        <v>21</v>
      </c>
      <c r="T111" s="115">
        <v>19.3</v>
      </c>
      <c r="U111" s="115">
        <v>26</v>
      </c>
      <c r="V111" s="115">
        <v>31</v>
      </c>
      <c r="W111" s="115">
        <v>40</v>
      </c>
      <c r="X111" s="115">
        <v>32</v>
      </c>
      <c r="Y111" s="115">
        <v>55</v>
      </c>
      <c r="Z111" s="115">
        <v>68</v>
      </c>
      <c r="AA111" s="115">
        <v>58</v>
      </c>
      <c r="AB111" s="115">
        <f>18.4+19.3</f>
        <v>37.700000000000003</v>
      </c>
      <c r="AC111" s="115">
        <v>38</v>
      </c>
      <c r="AD111" s="115">
        <v>30</v>
      </c>
      <c r="AE111" s="115">
        <v>10</v>
      </c>
      <c r="AF111" s="115">
        <v>5</v>
      </c>
      <c r="AG111" s="114">
        <v>240</v>
      </c>
      <c r="AH111" s="47">
        <f t="shared" si="9"/>
        <v>68</v>
      </c>
      <c r="AI111" s="48">
        <f t="shared" si="10"/>
        <v>-30.3</v>
      </c>
    </row>
    <row r="112" spans="1:37" x14ac:dyDescent="0.25">
      <c r="A112" s="103" t="s">
        <v>116</v>
      </c>
      <c r="B112" s="115">
        <v>0.3</v>
      </c>
      <c r="C112" s="115">
        <v>-2</v>
      </c>
      <c r="D112" s="115">
        <v>-4.3</v>
      </c>
      <c r="E112" s="115">
        <v>-5.4</v>
      </c>
      <c r="F112" s="115">
        <v>-3.3</v>
      </c>
      <c r="G112" s="115">
        <v>-1.5</v>
      </c>
      <c r="H112" s="115">
        <v>2.6</v>
      </c>
      <c r="I112" s="115">
        <v>6</v>
      </c>
      <c r="J112" s="115">
        <v>9</v>
      </c>
      <c r="K112" s="115">
        <v>10.5</v>
      </c>
      <c r="L112" s="115">
        <v>12.8</v>
      </c>
      <c r="M112" s="115">
        <v>16</v>
      </c>
      <c r="N112" s="115">
        <v>12.8</v>
      </c>
      <c r="O112" s="115">
        <v>12.8</v>
      </c>
      <c r="P112" s="115">
        <v>12.8</v>
      </c>
      <c r="Q112" s="115">
        <v>12.8</v>
      </c>
      <c r="R112" s="115">
        <v>26.2</v>
      </c>
      <c r="S112" s="115">
        <v>22</v>
      </c>
      <c r="T112" s="115">
        <v>26.8</v>
      </c>
      <c r="U112" s="115">
        <v>20</v>
      </c>
      <c r="V112" s="115">
        <v>34.5</v>
      </c>
      <c r="W112" s="115">
        <v>22</v>
      </c>
      <c r="X112" s="115">
        <v>21</v>
      </c>
      <c r="Y112" s="115">
        <v>31.5</v>
      </c>
      <c r="Z112" s="115">
        <v>31</v>
      </c>
      <c r="AA112" s="115">
        <v>22</v>
      </c>
      <c r="AB112" s="115">
        <v>16.2</v>
      </c>
      <c r="AC112" s="115">
        <v>14</v>
      </c>
      <c r="AD112" s="115">
        <v>14</v>
      </c>
      <c r="AE112" s="115">
        <v>6</v>
      </c>
      <c r="AF112" s="115">
        <v>5</v>
      </c>
      <c r="AG112" s="114">
        <v>60</v>
      </c>
      <c r="AH112" s="47">
        <f t="shared" si="9"/>
        <v>34.5</v>
      </c>
      <c r="AI112" s="48">
        <f t="shared" si="10"/>
        <v>-5.4</v>
      </c>
    </row>
    <row r="113" spans="1:37" x14ac:dyDescent="0.25">
      <c r="A113" s="116" t="s">
        <v>117</v>
      </c>
      <c r="B113" s="117">
        <v>70.7</v>
      </c>
      <c r="C113" s="117">
        <v>80.400000000000006</v>
      </c>
      <c r="D113" s="117">
        <v>87.9</v>
      </c>
      <c r="E113" s="117">
        <v>89.2</v>
      </c>
      <c r="F113" s="117">
        <v>90.2</v>
      </c>
      <c r="G113" s="117">
        <v>97.3</v>
      </c>
      <c r="H113" s="117">
        <v>102.9</v>
      </c>
      <c r="I113" s="117">
        <v>119</v>
      </c>
      <c r="J113" s="117">
        <v>112</v>
      </c>
      <c r="K113" s="117">
        <v>115</v>
      </c>
      <c r="L113" s="117">
        <v>123</v>
      </c>
      <c r="M113" s="117">
        <v>115</v>
      </c>
      <c r="N113" s="115">
        <v>108</v>
      </c>
      <c r="O113" s="115">
        <v>108</v>
      </c>
      <c r="P113" s="115">
        <v>108</v>
      </c>
      <c r="Q113" s="115">
        <v>108</v>
      </c>
      <c r="R113" s="117">
        <v>100.9</v>
      </c>
      <c r="S113" s="117">
        <v>105</v>
      </c>
      <c r="T113" s="117">
        <v>97</v>
      </c>
      <c r="U113" s="117">
        <v>113</v>
      </c>
      <c r="V113" s="117">
        <v>102</v>
      </c>
      <c r="W113" s="117">
        <v>102</v>
      </c>
      <c r="X113" s="117">
        <v>95</v>
      </c>
      <c r="Y113" s="117">
        <v>117</v>
      </c>
      <c r="Z113" s="117">
        <v>102</v>
      </c>
      <c r="AA113" s="117">
        <v>111</v>
      </c>
      <c r="AB113" s="117">
        <v>96.1</v>
      </c>
      <c r="AC113" s="117">
        <v>76</v>
      </c>
      <c r="AD113" s="117">
        <v>70</v>
      </c>
      <c r="AE113" s="117">
        <v>89</v>
      </c>
      <c r="AF113" s="117">
        <v>87</v>
      </c>
      <c r="AG113" s="118">
        <v>120</v>
      </c>
      <c r="AH113" s="47">
        <f t="shared" si="9"/>
        <v>123</v>
      </c>
      <c r="AI113" s="48">
        <f t="shared" si="10"/>
        <v>70</v>
      </c>
    </row>
    <row r="114" spans="1:37" x14ac:dyDescent="0.25">
      <c r="A114" s="116" t="s">
        <v>118</v>
      </c>
      <c r="B114" s="117">
        <v>58</v>
      </c>
      <c r="C114" s="117">
        <v>80</v>
      </c>
      <c r="D114" s="117">
        <v>87.6</v>
      </c>
      <c r="E114" s="117">
        <v>85.6</v>
      </c>
      <c r="F114" s="117">
        <v>87.2</v>
      </c>
      <c r="G114" s="117">
        <v>92.6</v>
      </c>
      <c r="H114" s="117">
        <v>88.54</v>
      </c>
      <c r="I114" s="117">
        <v>92</v>
      </c>
      <c r="J114" s="117">
        <v>96</v>
      </c>
      <c r="K114" s="117">
        <v>89</v>
      </c>
      <c r="L114" s="117">
        <v>97.1</v>
      </c>
      <c r="M114" s="117">
        <v>89.9</v>
      </c>
      <c r="N114" s="115">
        <v>83</v>
      </c>
      <c r="O114" s="115">
        <v>83</v>
      </c>
      <c r="P114" s="115">
        <v>83</v>
      </c>
      <c r="Q114" s="115">
        <v>83</v>
      </c>
      <c r="R114" s="117">
        <v>80.099999999999994</v>
      </c>
      <c r="S114" s="117">
        <v>84</v>
      </c>
      <c r="T114" s="117">
        <v>75</v>
      </c>
      <c r="U114" s="117">
        <v>88</v>
      </c>
      <c r="V114" s="117">
        <v>80</v>
      </c>
      <c r="W114" s="117">
        <v>74</v>
      </c>
      <c r="X114" s="117">
        <v>71</v>
      </c>
      <c r="Y114" s="117">
        <v>95.3</v>
      </c>
      <c r="Z114" s="117">
        <v>96</v>
      </c>
      <c r="AA114" s="117">
        <v>89</v>
      </c>
      <c r="AB114" s="117">
        <v>76.8</v>
      </c>
      <c r="AC114" s="117">
        <v>87</v>
      </c>
      <c r="AD114" s="117">
        <v>80</v>
      </c>
      <c r="AE114" s="117">
        <v>75</v>
      </c>
      <c r="AF114" s="117">
        <v>75</v>
      </c>
      <c r="AG114" s="118"/>
      <c r="AH114" s="47">
        <f t="shared" si="9"/>
        <v>97.1</v>
      </c>
      <c r="AI114" s="48">
        <f t="shared" si="10"/>
        <v>58</v>
      </c>
    </row>
    <row r="115" spans="1:37" x14ac:dyDescent="0.25">
      <c r="A115" s="116" t="s">
        <v>119</v>
      </c>
      <c r="B115" s="117">
        <v>43.3</v>
      </c>
      <c r="C115" s="117">
        <v>44.8</v>
      </c>
      <c r="D115" s="117">
        <v>45.7</v>
      </c>
      <c r="E115" s="117">
        <v>37</v>
      </c>
      <c r="F115" s="117">
        <v>44.1</v>
      </c>
      <c r="G115" s="117">
        <v>43.8</v>
      </c>
      <c r="H115" s="117">
        <v>47.2</v>
      </c>
      <c r="I115" s="117">
        <v>32</v>
      </c>
      <c r="J115" s="117">
        <v>26</v>
      </c>
      <c r="K115" s="117">
        <v>28.9</v>
      </c>
      <c r="L115" s="117">
        <v>24.4</v>
      </c>
      <c r="M115" s="117"/>
      <c r="N115" s="117"/>
      <c r="O115" s="117"/>
      <c r="P115" s="117"/>
      <c r="Q115" s="117"/>
      <c r="R115" s="117"/>
      <c r="S115" s="117"/>
      <c r="T115" s="117">
        <v>48.5</v>
      </c>
      <c r="U115" s="117"/>
      <c r="V115" s="117"/>
      <c r="W115" s="117"/>
      <c r="X115" s="117">
        <v>0.6</v>
      </c>
      <c r="Y115" s="117">
        <v>23.6</v>
      </c>
      <c r="Z115" s="117"/>
      <c r="AA115" s="117">
        <v>30</v>
      </c>
      <c r="AB115" s="117"/>
      <c r="AC115" s="117">
        <v>-11</v>
      </c>
      <c r="AD115" s="117">
        <v>26</v>
      </c>
      <c r="AE115" s="117"/>
      <c r="AF115" s="117">
        <v>48</v>
      </c>
      <c r="AG115" s="119"/>
      <c r="AH115" s="47">
        <f t="shared" si="9"/>
        <v>48.5</v>
      </c>
      <c r="AI115" s="48">
        <f t="shared" si="10"/>
        <v>-11</v>
      </c>
    </row>
    <row r="116" spans="1:37" x14ac:dyDescent="0.25">
      <c r="A116" s="120" t="s">
        <v>120</v>
      </c>
      <c r="B116" s="106">
        <v>1.3</v>
      </c>
      <c r="C116" s="106">
        <v>9</v>
      </c>
      <c r="D116" s="106">
        <v>8.5</v>
      </c>
      <c r="E116" s="106">
        <v>14.4</v>
      </c>
      <c r="F116" s="106">
        <v>16.3</v>
      </c>
      <c r="G116" s="106">
        <v>9.6</v>
      </c>
      <c r="H116" s="106">
        <v>-18.7</v>
      </c>
      <c r="I116" s="106">
        <v>-26</v>
      </c>
      <c r="J116" s="106">
        <v>-36</v>
      </c>
      <c r="K116" s="106">
        <v>-40.4</v>
      </c>
      <c r="L116" s="106">
        <v>-47.1</v>
      </c>
      <c r="M116" s="106">
        <v>-52.6</v>
      </c>
      <c r="N116" s="117">
        <v>-28.8</v>
      </c>
      <c r="O116" s="117">
        <v>-28.8</v>
      </c>
      <c r="P116" s="117">
        <v>-28.8</v>
      </c>
      <c r="Q116" s="117">
        <v>-28.8</v>
      </c>
      <c r="R116" s="106">
        <v>-25.8</v>
      </c>
      <c r="S116" s="106">
        <v>-22</v>
      </c>
      <c r="T116" s="106">
        <v>-25.6</v>
      </c>
      <c r="U116" s="106">
        <v>-30</v>
      </c>
      <c r="V116" s="106">
        <v>-44</v>
      </c>
      <c r="W116" s="106">
        <v>-50</v>
      </c>
      <c r="X116" s="106">
        <v>-64</v>
      </c>
      <c r="Y116" s="106">
        <v>-78</v>
      </c>
      <c r="Z116" s="106">
        <v>-59</v>
      </c>
      <c r="AA116" s="106">
        <v>-53</v>
      </c>
      <c r="AB116" s="106">
        <v>-37.6</v>
      </c>
      <c r="AC116" s="106">
        <v>-26</v>
      </c>
      <c r="AD116" s="106">
        <v>-22</v>
      </c>
      <c r="AE116" s="106">
        <v>-6</v>
      </c>
      <c r="AF116" s="106">
        <v>2</v>
      </c>
      <c r="AG116" s="119"/>
      <c r="AH116" s="47">
        <f t="shared" si="9"/>
        <v>16.3</v>
      </c>
      <c r="AI116" s="48">
        <f t="shared" si="10"/>
        <v>-78</v>
      </c>
    </row>
    <row r="117" spans="1:37" ht="15.75" thickBot="1" x14ac:dyDescent="0.3">
      <c r="A117" s="120" t="s">
        <v>121</v>
      </c>
      <c r="B117" s="106">
        <v>62.4</v>
      </c>
      <c r="C117" s="106">
        <v>56</v>
      </c>
      <c r="D117" s="106">
        <v>61.1</v>
      </c>
      <c r="E117" s="106">
        <v>56.5</v>
      </c>
      <c r="F117" s="106">
        <v>59.1</v>
      </c>
      <c r="G117" s="106">
        <v>56.1</v>
      </c>
      <c r="H117" s="106">
        <v>64.8</v>
      </c>
      <c r="I117" s="106">
        <v>66</v>
      </c>
      <c r="J117" s="106">
        <v>64</v>
      </c>
      <c r="K117" s="106">
        <v>72.599999999999994</v>
      </c>
      <c r="L117" s="106">
        <v>80.599999999999994</v>
      </c>
      <c r="M117" s="106">
        <v>88.6</v>
      </c>
      <c r="N117" s="106">
        <v>79.8</v>
      </c>
      <c r="O117" s="106">
        <v>79.8</v>
      </c>
      <c r="P117" s="106">
        <v>79.8</v>
      </c>
      <c r="Q117" s="106">
        <v>79.8</v>
      </c>
      <c r="R117" s="106">
        <v>97.4</v>
      </c>
      <c r="S117" s="106">
        <v>99</v>
      </c>
      <c r="T117" s="106">
        <v>90.3</v>
      </c>
      <c r="U117" s="106">
        <v>90</v>
      </c>
      <c r="V117" s="106">
        <v>89</v>
      </c>
      <c r="W117" s="106">
        <v>87</v>
      </c>
      <c r="X117" s="106">
        <v>89</v>
      </c>
      <c r="Y117" s="106">
        <v>105</v>
      </c>
      <c r="Z117" s="106">
        <v>95</v>
      </c>
      <c r="AA117" s="106">
        <v>102</v>
      </c>
      <c r="AB117" s="106">
        <v>104</v>
      </c>
      <c r="AC117" s="106">
        <v>94</v>
      </c>
      <c r="AD117" s="106">
        <v>94</v>
      </c>
      <c r="AE117" s="106">
        <v>76</v>
      </c>
      <c r="AF117" s="106">
        <v>74</v>
      </c>
      <c r="AG117" s="119"/>
      <c r="AH117" s="47">
        <f t="shared" si="9"/>
        <v>105</v>
      </c>
      <c r="AI117" s="48">
        <f t="shared" si="10"/>
        <v>56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17">SUM(B119:B223)</f>
        <v>0</v>
      </c>
      <c r="C224" s="136">
        <f t="shared" si="17"/>
        <v>0</v>
      </c>
      <c r="D224" s="136">
        <f t="shared" si="17"/>
        <v>0</v>
      </c>
      <c r="E224" s="136">
        <f t="shared" si="17"/>
        <v>0</v>
      </c>
      <c r="F224" s="136">
        <f t="shared" si="17"/>
        <v>0</v>
      </c>
      <c r="G224" s="136">
        <f t="shared" si="17"/>
        <v>0</v>
      </c>
      <c r="H224" s="136">
        <f t="shared" si="17"/>
        <v>0</v>
      </c>
      <c r="I224" s="136">
        <f t="shared" si="17"/>
        <v>0</v>
      </c>
      <c r="J224" s="136">
        <f t="shared" si="17"/>
        <v>0</v>
      </c>
      <c r="K224" s="136">
        <f t="shared" si="17"/>
        <v>0</v>
      </c>
      <c r="L224" s="136">
        <f t="shared" si="17"/>
        <v>0</v>
      </c>
      <c r="M224" s="136">
        <f t="shared" si="17"/>
        <v>0</v>
      </c>
      <c r="N224" s="136">
        <f t="shared" si="17"/>
        <v>0</v>
      </c>
      <c r="O224" s="136">
        <f t="shared" si="17"/>
        <v>0</v>
      </c>
      <c r="P224" s="136">
        <f t="shared" si="17"/>
        <v>0</v>
      </c>
      <c r="Q224" s="136">
        <f t="shared" si="17"/>
        <v>0</v>
      </c>
      <c r="R224" s="136">
        <f t="shared" si="17"/>
        <v>0</v>
      </c>
      <c r="S224" s="136">
        <f t="shared" si="17"/>
        <v>0</v>
      </c>
      <c r="T224" s="136">
        <f t="shared" si="17"/>
        <v>0</v>
      </c>
      <c r="U224" s="136">
        <f t="shared" si="17"/>
        <v>0</v>
      </c>
      <c r="V224" s="136">
        <f t="shared" si="17"/>
        <v>0</v>
      </c>
      <c r="W224" s="136">
        <f t="shared" si="17"/>
        <v>0</v>
      </c>
      <c r="X224" s="136">
        <f t="shared" si="17"/>
        <v>0</v>
      </c>
      <c r="Y224" s="136">
        <f t="shared" si="17"/>
        <v>0</v>
      </c>
      <c r="Z224" s="136">
        <f t="shared" si="17"/>
        <v>0</v>
      </c>
      <c r="AA224" s="136">
        <f t="shared" si="17"/>
        <v>0</v>
      </c>
      <c r="AB224" s="136">
        <f t="shared" si="17"/>
        <v>0</v>
      </c>
      <c r="AC224" s="136">
        <f t="shared" si="17"/>
        <v>0</v>
      </c>
      <c r="AD224" s="136">
        <f t="shared" si="17"/>
        <v>0</v>
      </c>
      <c r="AE224" s="136">
        <f t="shared" si="17"/>
        <v>0</v>
      </c>
      <c r="AF224" s="137">
        <f t="shared" si="17"/>
        <v>0</v>
      </c>
      <c r="AG224" s="138">
        <f t="shared" si="1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18">AF226</f>
        <v>0</v>
      </c>
      <c r="C226" s="140">
        <v>0.3</v>
      </c>
      <c r="D226" s="140">
        <f t="shared" ref="D226:P231" si="19">C226</f>
        <v>0.3</v>
      </c>
      <c r="E226" s="140">
        <f t="shared" si="19"/>
        <v>0.3</v>
      </c>
      <c r="F226" s="140">
        <f t="shared" si="19"/>
        <v>0.3</v>
      </c>
      <c r="G226" s="140">
        <f t="shared" si="19"/>
        <v>0.3</v>
      </c>
      <c r="H226" s="140">
        <f t="shared" si="19"/>
        <v>0.3</v>
      </c>
      <c r="I226" s="140">
        <f t="shared" si="19"/>
        <v>0.3</v>
      </c>
      <c r="J226" s="140">
        <f t="shared" si="19"/>
        <v>0.3</v>
      </c>
      <c r="K226" s="140">
        <f t="shared" si="19"/>
        <v>0.3</v>
      </c>
      <c r="L226" s="140">
        <f t="shared" si="19"/>
        <v>0.3</v>
      </c>
      <c r="M226" s="140">
        <f t="shared" si="19"/>
        <v>0.3</v>
      </c>
      <c r="N226" s="140">
        <f t="shared" si="19"/>
        <v>0.3</v>
      </c>
      <c r="O226" s="140">
        <f t="shared" si="19"/>
        <v>0.3</v>
      </c>
      <c r="P226" s="140">
        <f t="shared" si="1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18"/>
        <v>0</v>
      </c>
      <c r="C227" s="128">
        <v>0.4</v>
      </c>
      <c r="D227" s="128">
        <f t="shared" si="19"/>
        <v>0.4</v>
      </c>
      <c r="E227" s="128">
        <f t="shared" si="19"/>
        <v>0.4</v>
      </c>
      <c r="F227" s="128">
        <f t="shared" si="19"/>
        <v>0.4</v>
      </c>
      <c r="G227" s="128">
        <f t="shared" si="19"/>
        <v>0.4</v>
      </c>
      <c r="H227" s="128">
        <f t="shared" si="19"/>
        <v>0.4</v>
      </c>
      <c r="I227" s="128">
        <f t="shared" si="19"/>
        <v>0.4</v>
      </c>
      <c r="J227" s="128">
        <f t="shared" si="19"/>
        <v>0.4</v>
      </c>
      <c r="K227" s="128">
        <f t="shared" si="19"/>
        <v>0.4</v>
      </c>
      <c r="L227" s="128">
        <f t="shared" si="19"/>
        <v>0.4</v>
      </c>
      <c r="M227" s="128">
        <f t="shared" si="19"/>
        <v>0.4</v>
      </c>
      <c r="N227" s="128">
        <f t="shared" si="19"/>
        <v>0.4</v>
      </c>
      <c r="O227" s="128">
        <f t="shared" si="19"/>
        <v>0.4</v>
      </c>
      <c r="P227" s="128">
        <f t="shared" si="1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18"/>
        <v>0</v>
      </c>
      <c r="C228" s="128">
        <v>1.5</v>
      </c>
      <c r="D228" s="128">
        <f t="shared" si="19"/>
        <v>1.5</v>
      </c>
      <c r="E228" s="128">
        <f t="shared" si="19"/>
        <v>1.5</v>
      </c>
      <c r="F228" s="128">
        <f t="shared" si="19"/>
        <v>1.5</v>
      </c>
      <c r="G228" s="128">
        <f t="shared" si="19"/>
        <v>1.5</v>
      </c>
      <c r="H228" s="128">
        <f t="shared" si="1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19"/>
        <v>1.5</v>
      </c>
      <c r="K228" s="128">
        <f t="shared" ca="1" si="19"/>
        <v>1.5</v>
      </c>
      <c r="L228" s="128">
        <f t="shared" ca="1" si="19"/>
        <v>1.5</v>
      </c>
      <c r="M228" s="128">
        <f t="shared" ca="1" si="19"/>
        <v>1.5</v>
      </c>
      <c r="N228" s="128">
        <f t="shared" ca="1" si="19"/>
        <v>1.5</v>
      </c>
      <c r="O228" s="128">
        <f t="shared" ca="1" si="19"/>
        <v>1.5</v>
      </c>
      <c r="P228" s="128">
        <f t="shared" ca="1" si="1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18"/>
        <v>0</v>
      </c>
      <c r="C229" s="128">
        <v>0.3</v>
      </c>
      <c r="D229" s="128">
        <f t="shared" si="19"/>
        <v>0.3</v>
      </c>
      <c r="E229" s="128">
        <f t="shared" si="19"/>
        <v>0.3</v>
      </c>
      <c r="F229" s="128">
        <f t="shared" si="19"/>
        <v>0.3</v>
      </c>
      <c r="G229" s="128">
        <f t="shared" si="19"/>
        <v>0.3</v>
      </c>
      <c r="H229" s="128">
        <f t="shared" si="19"/>
        <v>0.3</v>
      </c>
      <c r="I229" s="128">
        <f t="shared" si="19"/>
        <v>0.3</v>
      </c>
      <c r="J229" s="128">
        <f t="shared" si="19"/>
        <v>0.3</v>
      </c>
      <c r="K229" s="128">
        <f t="shared" si="19"/>
        <v>0.3</v>
      </c>
      <c r="L229" s="128">
        <f t="shared" si="19"/>
        <v>0.3</v>
      </c>
      <c r="M229" s="128">
        <f t="shared" si="19"/>
        <v>0.3</v>
      </c>
      <c r="N229" s="128">
        <f t="shared" si="19"/>
        <v>0.3</v>
      </c>
      <c r="O229" s="128">
        <f t="shared" si="19"/>
        <v>0.3</v>
      </c>
      <c r="P229" s="128">
        <f t="shared" si="1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18"/>
        <v>0</v>
      </c>
      <c r="C231" s="132">
        <v>0.64</v>
      </c>
      <c r="D231" s="132">
        <f t="shared" si="19"/>
        <v>0.64</v>
      </c>
      <c r="E231" s="132">
        <f t="shared" si="19"/>
        <v>0.64</v>
      </c>
      <c r="F231" s="132">
        <f t="shared" si="19"/>
        <v>0.64</v>
      </c>
      <c r="G231" s="132">
        <f t="shared" si="19"/>
        <v>0.64</v>
      </c>
      <c r="H231" s="132">
        <f t="shared" si="19"/>
        <v>0.64</v>
      </c>
      <c r="I231" s="132">
        <f t="shared" si="19"/>
        <v>0.64</v>
      </c>
      <c r="J231" s="132">
        <f t="shared" si="19"/>
        <v>0.64</v>
      </c>
      <c r="K231" s="132">
        <f t="shared" si="19"/>
        <v>0.64</v>
      </c>
      <c r="L231" s="132">
        <f t="shared" si="19"/>
        <v>0.64</v>
      </c>
      <c r="M231" s="132">
        <f t="shared" si="19"/>
        <v>0.64</v>
      </c>
      <c r="N231" s="132">
        <f t="shared" si="19"/>
        <v>0.64</v>
      </c>
      <c r="O231" s="132">
        <f t="shared" si="19"/>
        <v>0.64</v>
      </c>
      <c r="P231" s="132">
        <f t="shared" si="1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0">SUM(B226:B231)</f>
        <v>0</v>
      </c>
      <c r="C232" s="136">
        <f t="shared" si="20"/>
        <v>3.54</v>
      </c>
      <c r="D232" s="136">
        <f t="shared" si="20"/>
        <v>3.54</v>
      </c>
      <c r="E232" s="136">
        <f t="shared" si="20"/>
        <v>3.54</v>
      </c>
      <c r="F232" s="136">
        <f t="shared" si="20"/>
        <v>3.54</v>
      </c>
      <c r="G232" s="136">
        <f t="shared" si="20"/>
        <v>3.54</v>
      </c>
      <c r="H232" s="136">
        <f t="shared" si="20"/>
        <v>3.54</v>
      </c>
      <c r="I232" s="136">
        <f t="shared" ca="1" si="20"/>
        <v>3.54</v>
      </c>
      <c r="J232" s="136">
        <f t="shared" ca="1" si="20"/>
        <v>3.54</v>
      </c>
      <c r="K232" s="136">
        <f t="shared" ca="1" si="20"/>
        <v>3.54</v>
      </c>
      <c r="L232" s="136">
        <f t="shared" ca="1" si="20"/>
        <v>3.54</v>
      </c>
      <c r="M232" s="136">
        <f t="shared" ca="1" si="20"/>
        <v>3.54</v>
      </c>
      <c r="N232" s="136">
        <f t="shared" ca="1" si="20"/>
        <v>3.54</v>
      </c>
      <c r="O232" s="136">
        <f t="shared" ca="1" si="20"/>
        <v>3.54</v>
      </c>
      <c r="P232" s="136">
        <f t="shared" ca="1" si="20"/>
        <v>3.54</v>
      </c>
      <c r="Q232" s="136">
        <f t="shared" si="20"/>
        <v>0</v>
      </c>
      <c r="R232" s="136">
        <f t="shared" si="20"/>
        <v>0</v>
      </c>
      <c r="S232" s="136">
        <f t="shared" si="20"/>
        <v>0</v>
      </c>
      <c r="T232" s="136">
        <f t="shared" si="20"/>
        <v>0</v>
      </c>
      <c r="U232" s="136">
        <f t="shared" si="20"/>
        <v>0</v>
      </c>
      <c r="V232" s="136">
        <f t="shared" si="20"/>
        <v>0</v>
      </c>
      <c r="W232" s="136">
        <f t="shared" si="20"/>
        <v>0</v>
      </c>
      <c r="X232" s="136">
        <f t="shared" si="20"/>
        <v>0</v>
      </c>
      <c r="Y232" s="136">
        <f t="shared" si="20"/>
        <v>0</v>
      </c>
      <c r="Z232" s="136">
        <f t="shared" si="20"/>
        <v>0</v>
      </c>
      <c r="AA232" s="136">
        <f t="shared" si="20"/>
        <v>0</v>
      </c>
      <c r="AB232" s="136">
        <f t="shared" si="20"/>
        <v>0</v>
      </c>
      <c r="AC232" s="136">
        <f t="shared" si="20"/>
        <v>0</v>
      </c>
      <c r="AD232" s="136">
        <f t="shared" si="20"/>
        <v>0</v>
      </c>
      <c r="AE232" s="136">
        <f t="shared" si="20"/>
        <v>0</v>
      </c>
      <c r="AF232" s="136">
        <f t="shared" si="20"/>
        <v>0</v>
      </c>
      <c r="AG232" s="145">
        <f t="shared" si="2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1481.84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21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2079/11/21)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2079/11/21)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1">B89</f>
        <v>1036.94</v>
      </c>
      <c r="U246" s="170">
        <f t="shared" si="21"/>
        <v>1042.94</v>
      </c>
      <c r="V246" s="170">
        <f t="shared" si="21"/>
        <v>1054.94</v>
      </c>
      <c r="W246" s="170">
        <f t="shared" si="21"/>
        <v>1036.04</v>
      </c>
      <c r="X246" s="170">
        <f t="shared" si="21"/>
        <v>1022.54</v>
      </c>
      <c r="Y246" s="170">
        <f t="shared" si="21"/>
        <v>1087.24</v>
      </c>
      <c r="Z246" s="170">
        <f t="shared" si="21"/>
        <v>1201.8399999999999</v>
      </c>
      <c r="AA246" s="170">
        <f t="shared" si="21"/>
        <v>1206.24</v>
      </c>
      <c r="AB246" s="170">
        <f t="shared" si="21"/>
        <v>1242.24</v>
      </c>
      <c r="AC246" s="170">
        <f t="shared" si="21"/>
        <v>1271.94</v>
      </c>
      <c r="AD246" s="170">
        <f t="shared" si="21"/>
        <v>1409.54</v>
      </c>
      <c r="AE246" s="170">
        <f t="shared" si="21"/>
        <v>1481.84</v>
      </c>
      <c r="AF246" s="170">
        <f t="shared" si="21"/>
        <v>1453.7399999999998</v>
      </c>
      <c r="AG246" s="170">
        <f t="shared" si="21"/>
        <v>1365.24</v>
      </c>
      <c r="AH246" s="170">
        <f t="shared" si="21"/>
        <v>1382.04</v>
      </c>
      <c r="AI246" s="170">
        <f t="shared" si="21"/>
        <v>1363.84</v>
      </c>
      <c r="AJ246" s="170">
        <f t="shared" si="21"/>
        <v>1306.8399999999999</v>
      </c>
      <c r="AK246" s="170">
        <f t="shared" si="21"/>
        <v>1334.24</v>
      </c>
      <c r="AL246" s="170">
        <f t="shared" si="21"/>
        <v>1338.2399999999998</v>
      </c>
      <c r="AM246" s="170">
        <f t="shared" si="21"/>
        <v>1338.54</v>
      </c>
      <c r="AN246" s="170">
        <f t="shared" si="21"/>
        <v>1375.1399999999999</v>
      </c>
      <c r="AO246" s="170">
        <f t="shared" si="21"/>
        <v>1340.24</v>
      </c>
      <c r="AP246" s="170">
        <f t="shared" si="21"/>
        <v>1374.6399999999999</v>
      </c>
      <c r="AQ246" s="170">
        <f t="shared" si="21"/>
        <v>1559.44</v>
      </c>
      <c r="AR246" s="170">
        <f t="shared" si="21"/>
        <v>1542.3400000000001</v>
      </c>
      <c r="AS246" s="170">
        <f t="shared" si="21"/>
        <v>1507.6399999999999</v>
      </c>
      <c r="AT246" s="170">
        <f t="shared" si="21"/>
        <v>1399.34</v>
      </c>
      <c r="AU246" s="170">
        <f t="shared" si="21"/>
        <v>1298.74</v>
      </c>
      <c r="AV246" s="170">
        <f t="shared" si="21"/>
        <v>1291.74</v>
      </c>
      <c r="AW246" s="170">
        <f t="shared" si="21"/>
        <v>1155.7399999999998</v>
      </c>
      <c r="AX246" s="170">
        <f t="shared" si="21"/>
        <v>1060.74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22">C231</f>
        <v>0.64</v>
      </c>
      <c r="C267" s="173">
        <f t="shared" si="22"/>
        <v>0.64</v>
      </c>
      <c r="D267" s="173">
        <f t="shared" si="22"/>
        <v>0.64</v>
      </c>
      <c r="E267" s="173">
        <f t="shared" si="22"/>
        <v>0.64</v>
      </c>
      <c r="F267" s="173">
        <f t="shared" si="22"/>
        <v>0.64</v>
      </c>
      <c r="G267" s="173">
        <f t="shared" si="22"/>
        <v>0.64</v>
      </c>
      <c r="H267" s="173">
        <f t="shared" si="22"/>
        <v>0.64</v>
      </c>
      <c r="I267" s="173">
        <f t="shared" si="22"/>
        <v>0.64</v>
      </c>
      <c r="J267" s="173">
        <f t="shared" si="22"/>
        <v>0.64</v>
      </c>
      <c r="K267" s="173">
        <f t="shared" si="22"/>
        <v>0.64</v>
      </c>
      <c r="L267" s="173">
        <f t="shared" si="22"/>
        <v>0.64</v>
      </c>
      <c r="M267" s="173">
        <f t="shared" si="22"/>
        <v>0.64</v>
      </c>
      <c r="N267" s="173">
        <f t="shared" si="22"/>
        <v>0.64</v>
      </c>
      <c r="O267" s="173">
        <f t="shared" si="22"/>
        <v>0.64</v>
      </c>
      <c r="P267" s="173">
        <f t="shared" si="22"/>
        <v>0</v>
      </c>
      <c r="Q267" s="173">
        <f t="shared" si="22"/>
        <v>0</v>
      </c>
      <c r="R267" s="173">
        <f t="shared" si="22"/>
        <v>0</v>
      </c>
      <c r="S267" s="173">
        <f t="shared" si="22"/>
        <v>0</v>
      </c>
      <c r="T267" s="173">
        <f t="shared" si="22"/>
        <v>0</v>
      </c>
      <c r="U267" s="173">
        <f t="shared" si="22"/>
        <v>0</v>
      </c>
      <c r="V267" s="173">
        <f t="shared" si="22"/>
        <v>0</v>
      </c>
      <c r="W267" s="173">
        <f t="shared" si="22"/>
        <v>0</v>
      </c>
      <c r="X267" s="173">
        <f t="shared" si="22"/>
        <v>0</v>
      </c>
      <c r="Y267" s="173">
        <f t="shared" si="22"/>
        <v>0</v>
      </c>
      <c r="Z267" s="173">
        <f t="shared" si="22"/>
        <v>0</v>
      </c>
      <c r="AA267" s="173">
        <f t="shared" si="22"/>
        <v>0</v>
      </c>
      <c r="AB267" s="173">
        <f t="shared" si="22"/>
        <v>0</v>
      </c>
      <c r="AC267" s="173">
        <f t="shared" si="22"/>
        <v>0</v>
      </c>
      <c r="AD267" s="173">
        <f t="shared" si="22"/>
        <v>0</v>
      </c>
      <c r="AE267" s="173">
        <f t="shared" si="2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3">IF(B235&lt;100,"",B235-520)</f>
        <v/>
      </c>
      <c r="C268" s="174" t="str">
        <f t="shared" si="23"/>
        <v/>
      </c>
      <c r="D268" s="174" t="str">
        <f t="shared" si="23"/>
        <v/>
      </c>
      <c r="E268" s="174" t="str">
        <f t="shared" si="23"/>
        <v/>
      </c>
      <c r="F268" s="174" t="str">
        <f t="shared" si="23"/>
        <v/>
      </c>
      <c r="G268" s="174" t="str">
        <f t="shared" si="23"/>
        <v/>
      </c>
      <c r="H268" s="174" t="str">
        <f t="shared" si="23"/>
        <v/>
      </c>
      <c r="I268" s="174" t="str">
        <f t="shared" si="23"/>
        <v/>
      </c>
      <c r="J268" s="174" t="str">
        <f t="shared" si="23"/>
        <v/>
      </c>
      <c r="K268" s="174" t="str">
        <f t="shared" si="23"/>
        <v/>
      </c>
      <c r="L268" s="174" t="str">
        <f t="shared" si="23"/>
        <v/>
      </c>
      <c r="M268" s="174" t="str">
        <f t="shared" si="23"/>
        <v/>
      </c>
      <c r="N268" s="174" t="str">
        <f t="shared" si="23"/>
        <v/>
      </c>
      <c r="O268" s="174" t="str">
        <f t="shared" si="23"/>
        <v/>
      </c>
      <c r="P268" s="174" t="str">
        <f t="shared" si="23"/>
        <v/>
      </c>
      <c r="Q268" s="174" t="str">
        <f t="shared" si="23"/>
        <v/>
      </c>
      <c r="R268" s="174" t="str">
        <f t="shared" si="23"/>
        <v/>
      </c>
      <c r="S268" s="174" t="str">
        <f t="shared" si="23"/>
        <v/>
      </c>
      <c r="T268" s="174" t="str">
        <f t="shared" si="23"/>
        <v/>
      </c>
      <c r="U268" s="174" t="str">
        <f t="shared" si="23"/>
        <v/>
      </c>
      <c r="V268" s="174" t="str">
        <f t="shared" si="23"/>
        <v/>
      </c>
      <c r="W268" s="174" t="str">
        <f t="shared" si="23"/>
        <v/>
      </c>
      <c r="X268" s="174" t="str">
        <f t="shared" si="23"/>
        <v/>
      </c>
      <c r="Y268" s="174" t="str">
        <f t="shared" si="23"/>
        <v/>
      </c>
      <c r="Z268" s="174" t="str">
        <f t="shared" si="23"/>
        <v/>
      </c>
      <c r="AA268" s="174" t="str">
        <f t="shared" si="23"/>
        <v/>
      </c>
      <c r="AB268" s="174" t="str">
        <f t="shared" si="23"/>
        <v/>
      </c>
      <c r="AC268" s="174" t="str">
        <f t="shared" si="23"/>
        <v/>
      </c>
      <c r="AD268" s="174" t="str">
        <f t="shared" si="23"/>
        <v/>
      </c>
      <c r="AE268" s="174" t="str">
        <f t="shared" si="23"/>
        <v/>
      </c>
      <c r="AF268" s="174" t="str">
        <f t="shared" si="2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4">IF(B236&lt;100,"",B236-620)</f>
        <v/>
      </c>
      <c r="C269" s="174" t="str">
        <f t="shared" si="24"/>
        <v/>
      </c>
      <c r="D269" s="174" t="str">
        <f t="shared" si="24"/>
        <v/>
      </c>
      <c r="E269" s="174" t="str">
        <f t="shared" si="24"/>
        <v/>
      </c>
      <c r="F269" s="174" t="str">
        <f t="shared" si="24"/>
        <v/>
      </c>
      <c r="G269" s="174" t="str">
        <f t="shared" si="24"/>
        <v/>
      </c>
      <c r="H269" s="174" t="str">
        <f t="shared" si="24"/>
        <v/>
      </c>
      <c r="I269" s="174" t="str">
        <f t="shared" si="24"/>
        <v/>
      </c>
      <c r="J269" s="174" t="str">
        <f t="shared" si="24"/>
        <v/>
      </c>
      <c r="K269" s="174" t="str">
        <f t="shared" si="24"/>
        <v/>
      </c>
      <c r="L269" s="174" t="str">
        <f t="shared" si="24"/>
        <v/>
      </c>
      <c r="M269" s="174" t="str">
        <f t="shared" si="24"/>
        <v/>
      </c>
      <c r="N269" s="174" t="str">
        <f t="shared" si="24"/>
        <v/>
      </c>
      <c r="O269" s="174" t="str">
        <f t="shared" si="24"/>
        <v/>
      </c>
      <c r="P269" s="174" t="str">
        <f t="shared" si="24"/>
        <v/>
      </c>
      <c r="Q269" s="174" t="str">
        <f t="shared" si="24"/>
        <v/>
      </c>
      <c r="R269" s="174" t="str">
        <f t="shared" si="24"/>
        <v/>
      </c>
      <c r="S269" s="174" t="str">
        <f t="shared" si="24"/>
        <v/>
      </c>
      <c r="T269" s="174" t="str">
        <f t="shared" si="24"/>
        <v/>
      </c>
      <c r="U269" s="174" t="str">
        <f t="shared" si="24"/>
        <v/>
      </c>
      <c r="V269" s="174" t="str">
        <f t="shared" si="24"/>
        <v/>
      </c>
      <c r="W269" s="174" t="str">
        <f t="shared" si="24"/>
        <v/>
      </c>
      <c r="X269" s="174" t="str">
        <f t="shared" si="24"/>
        <v/>
      </c>
      <c r="Y269" s="174" t="str">
        <f t="shared" si="24"/>
        <v/>
      </c>
      <c r="Z269" s="174" t="str">
        <f t="shared" si="24"/>
        <v/>
      </c>
      <c r="AA269" s="174" t="str">
        <f t="shared" si="24"/>
        <v/>
      </c>
      <c r="AB269" s="174" t="str">
        <f t="shared" si="24"/>
        <v/>
      </c>
      <c r="AC269" s="174" t="str">
        <f t="shared" si="24"/>
        <v/>
      </c>
      <c r="AD269" s="174" t="str">
        <f t="shared" si="24"/>
        <v/>
      </c>
      <c r="AE269" s="174" t="str">
        <f t="shared" si="24"/>
        <v/>
      </c>
      <c r="AF269" s="174" t="str">
        <f t="shared" si="2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5">IF(B237&lt;100,"",B237-330)</f>
        <v/>
      </c>
      <c r="C270" s="174" t="str">
        <f t="shared" si="25"/>
        <v/>
      </c>
      <c r="D270" s="174" t="str">
        <f t="shared" si="25"/>
        <v/>
      </c>
      <c r="E270" s="174" t="str">
        <f t="shared" si="25"/>
        <v/>
      </c>
      <c r="F270" s="174" t="str">
        <f t="shared" si="25"/>
        <v/>
      </c>
      <c r="G270" s="174" t="str">
        <f t="shared" si="25"/>
        <v/>
      </c>
      <c r="H270" s="174" t="str">
        <f t="shared" si="25"/>
        <v/>
      </c>
      <c r="I270" s="174" t="str">
        <f t="shared" si="25"/>
        <v/>
      </c>
      <c r="J270" s="174" t="str">
        <f t="shared" si="25"/>
        <v/>
      </c>
      <c r="K270" s="174" t="str">
        <f t="shared" si="25"/>
        <v/>
      </c>
      <c r="L270" s="174" t="str">
        <f t="shared" si="25"/>
        <v/>
      </c>
      <c r="M270" s="174" t="str">
        <f t="shared" si="25"/>
        <v/>
      </c>
      <c r="N270" s="174" t="str">
        <f t="shared" si="25"/>
        <v/>
      </c>
      <c r="O270" s="174" t="str">
        <f t="shared" si="25"/>
        <v/>
      </c>
      <c r="P270" s="174" t="str">
        <f t="shared" si="25"/>
        <v/>
      </c>
      <c r="Q270" s="174" t="str">
        <f t="shared" si="25"/>
        <v/>
      </c>
      <c r="R270" s="174" t="str">
        <f t="shared" si="25"/>
        <v/>
      </c>
      <c r="S270" s="174" t="str">
        <f t="shared" si="25"/>
        <v/>
      </c>
      <c r="T270" s="174" t="str">
        <f t="shared" si="25"/>
        <v/>
      </c>
      <c r="U270" s="174" t="str">
        <f t="shared" si="25"/>
        <v/>
      </c>
      <c r="V270" s="174" t="str">
        <f t="shared" si="25"/>
        <v/>
      </c>
      <c r="W270" s="174" t="str">
        <f t="shared" si="25"/>
        <v/>
      </c>
      <c r="X270" s="174" t="str">
        <f t="shared" si="25"/>
        <v/>
      </c>
      <c r="Y270" s="174" t="str">
        <f t="shared" si="25"/>
        <v/>
      </c>
      <c r="Z270" s="174" t="str">
        <f t="shared" si="25"/>
        <v/>
      </c>
      <c r="AA270" s="174" t="str">
        <f t="shared" si="25"/>
        <v/>
      </c>
      <c r="AB270" s="174" t="str">
        <f t="shared" si="25"/>
        <v/>
      </c>
      <c r="AC270" s="174" t="str">
        <f t="shared" si="25"/>
        <v/>
      </c>
      <c r="AD270" s="174" t="str">
        <f t="shared" si="25"/>
        <v/>
      </c>
      <c r="AE270" s="174" t="str">
        <f t="shared" si="25"/>
        <v/>
      </c>
      <c r="AF270" s="174" t="str">
        <f t="shared" si="2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6">IF(B238&lt;100,"",B238-1500)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17:AF32 Y34:AF43 Y45:AF45">
    <cfRule type="expression" dxfId="5022" priority="378">
      <formula>B$9&gt;=20/24</formula>
    </cfRule>
    <cfRule type="expression" dxfId="5021" priority="379">
      <formula>AND(B$9&gt;=14/24,B$9&lt;20/24)</formula>
    </cfRule>
    <cfRule type="expression" dxfId="5020" priority="380">
      <formula>AND(B$9&gt;=8/24,B$9&lt;14/24)</formula>
    </cfRule>
    <cfRule type="expression" dxfId="5019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5018" priority="376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5017" priority="375">
      <formula>$AH12=0</formula>
    </cfRule>
  </conditionalFormatting>
  <conditionalFormatting sqref="A114">
    <cfRule type="expression" dxfId="5016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015" priority="372">
      <formula>$AH45=0</formula>
    </cfRule>
  </conditionalFormatting>
  <conditionalFormatting sqref="A98">
    <cfRule type="expression" dxfId="5014" priority="371">
      <formula>$AH98=0</formula>
    </cfRule>
  </conditionalFormatting>
  <conditionalFormatting sqref="A18">
    <cfRule type="expression" dxfId="5013" priority="370">
      <formula>$AH18=0</formula>
    </cfRule>
  </conditionalFormatting>
  <conditionalFormatting sqref="A196:A201">
    <cfRule type="expression" dxfId="5012" priority="369">
      <formula>$AH196=0</formula>
    </cfRule>
  </conditionalFormatting>
  <conditionalFormatting sqref="A190:A195">
    <cfRule type="expression" dxfId="5011" priority="368">
      <formula>$AH190=0</formula>
    </cfRule>
  </conditionalFormatting>
  <conditionalFormatting sqref="A58">
    <cfRule type="expression" dxfId="5010" priority="367">
      <formula>$AH58=0</formula>
    </cfRule>
  </conditionalFormatting>
  <conditionalFormatting sqref="A94">
    <cfRule type="expression" dxfId="5009" priority="366">
      <formula>$AH94=0</formula>
    </cfRule>
  </conditionalFormatting>
  <conditionalFormatting sqref="E99:X99 AD99:AF99">
    <cfRule type="expression" dxfId="5008" priority="362">
      <formula>E$9&gt;=20/24</formula>
    </cfRule>
    <cfRule type="expression" dxfId="5007" priority="363">
      <formula>AND(E$9&gt;=14/24,E$9&lt;20/24)</formula>
    </cfRule>
    <cfRule type="expression" dxfId="5006" priority="364">
      <formula>AND(E$9&gt;=8/24,E$9&lt;14/24)</formula>
    </cfRule>
    <cfRule type="expression" dxfId="5005" priority="365">
      <formula>E$9&lt;8/24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04" priority="384">
      <formula>C$9&gt;=20/24</formula>
    </cfRule>
    <cfRule type="expression" dxfId="5003" priority="385">
      <formula>AND(C$9&gt;=14/24,C$9&lt;20/24)</formula>
    </cfRule>
    <cfRule type="expression" dxfId="5002" priority="386">
      <formula>AND(C$9&gt;=8/24,C$9&lt;14/24)</formula>
    </cfRule>
    <cfRule type="expression" dxfId="5001" priority="387">
      <formula>C$9&lt;8/24</formula>
    </cfRule>
  </conditionalFormatting>
  <conditionalFormatting sqref="A233">
    <cfRule type="expression" dxfId="5000" priority="388">
      <formula>$AH233=0</formula>
    </cfRule>
  </conditionalFormatting>
  <conditionalFormatting sqref="AG245">
    <cfRule type="expression" dxfId="4999" priority="389">
      <formula>B$9&gt;=20/24</formula>
    </cfRule>
    <cfRule type="expression" dxfId="4998" priority="390">
      <formula>AND(B$9&gt;=14/24,B$9&lt;20/24)</formula>
    </cfRule>
    <cfRule type="expression" dxfId="4997" priority="391">
      <formula>AND(B$9&gt;=8/24,B$9&lt;14/24)</formula>
    </cfRule>
    <cfRule type="expression" dxfId="4996" priority="392">
      <formula>B$9&lt;8/24</formula>
    </cfRule>
  </conditionalFormatting>
  <conditionalFormatting sqref="S8">
    <cfRule type="expression" dxfId="4995" priority="357">
      <formula>U$9&gt;=20/24</formula>
    </cfRule>
    <cfRule type="expression" dxfId="4994" priority="358">
      <formula>AND(U$9&gt;=14/24,U$9&lt;20/24)</formula>
    </cfRule>
    <cfRule type="expression" dxfId="4993" priority="359">
      <formula>AND(U$9&gt;=8/24,U$9&lt;14/24)</formula>
    </cfRule>
    <cfRule type="expression" dxfId="4992" priority="360">
      <formula>U$9&lt;8/24</formula>
    </cfRule>
  </conditionalFormatting>
  <conditionalFormatting sqref="AB8">
    <cfRule type="expression" dxfId="4991" priority="353">
      <formula>AD$9&gt;=20/24</formula>
    </cfRule>
    <cfRule type="expression" dxfId="4990" priority="354">
      <formula>AND(AD$9&gt;=14/24,AD$9&lt;20/24)</formula>
    </cfRule>
    <cfRule type="expression" dxfId="4989" priority="355">
      <formula>AND(AD$9&gt;=8/24,AD$9&lt;14/24)</formula>
    </cfRule>
    <cfRule type="expression" dxfId="4988" priority="356">
      <formula>AD$9&lt;8/24</formula>
    </cfRule>
  </conditionalFormatting>
  <conditionalFormatting sqref="AH245:AX245">
    <cfRule type="expression" dxfId="4987" priority="393">
      <formula>AG$9&gt;=20/24</formula>
    </cfRule>
    <cfRule type="expression" dxfId="4986" priority="394">
      <formula>AND(AG$9&gt;=14/24,AG$9&lt;20/24)</formula>
    </cfRule>
    <cfRule type="expression" dxfId="4985" priority="395">
      <formula>AND(AG$9&gt;=8/24,AG$9&lt;14/24)</formula>
    </cfRule>
    <cfRule type="expression" dxfId="4984" priority="396">
      <formula>AG$9&lt;8/24</formula>
    </cfRule>
  </conditionalFormatting>
  <conditionalFormatting sqref="T245">
    <cfRule type="expression" dxfId="4983" priority="397">
      <formula>AX$9&gt;=20/24</formula>
    </cfRule>
    <cfRule type="expression" dxfId="4982" priority="398">
      <formula>AND(AX$9&gt;=14/24,AX$9&lt;20/24)</formula>
    </cfRule>
    <cfRule type="expression" dxfId="4981" priority="399">
      <formula>AND(AX$9&gt;=8/24,AX$9&lt;14/24)</formula>
    </cfRule>
    <cfRule type="expression" dxfId="4980" priority="400">
      <formula>AX$9&lt;8/24</formula>
    </cfRule>
  </conditionalFormatting>
  <conditionalFormatting sqref="A115:A116">
    <cfRule type="expression" dxfId="4979" priority="352">
      <formula>$AH115=0</formula>
    </cfRule>
  </conditionalFormatting>
  <conditionalFormatting sqref="O54:S55 O57:S57 E71:AF71 AC54:AF55 Y56:AF57">
    <cfRule type="expression" dxfId="4978" priority="348">
      <formula>E$9&gt;=20/24</formula>
    </cfRule>
    <cfRule type="expression" dxfId="4977" priority="349">
      <formula>AND(E$9&gt;=14/24,E$9&lt;20/24)</formula>
    </cfRule>
    <cfRule type="expression" dxfId="4976" priority="350">
      <formula>AND(E$9&gt;=8/24,E$9&lt;14/24)</formula>
    </cfRule>
    <cfRule type="expression" dxfId="4975" priority="351">
      <formula>E$9&lt;8/24</formula>
    </cfRule>
  </conditionalFormatting>
  <conditionalFormatting sqref="O53:Q53 AC53:AF53">
    <cfRule type="expression" dxfId="4974" priority="344">
      <formula>O$9&gt;=20/24</formula>
    </cfRule>
    <cfRule type="expression" dxfId="4973" priority="345">
      <formula>AND(O$9&gt;=14/24,O$9&lt;20/24)</formula>
    </cfRule>
    <cfRule type="expression" dxfId="4972" priority="346">
      <formula>AND(O$9&gt;=8/24,O$9&lt;14/24)</formula>
    </cfRule>
    <cfRule type="expression" dxfId="4971" priority="347">
      <formula>O$9&lt;8/24</formula>
    </cfRule>
  </conditionalFormatting>
  <conditionalFormatting sqref="O53:Q55 R54:S55 O57:S57 AC53:AF55 Y56:AF57">
    <cfRule type="expression" dxfId="4970" priority="343">
      <formula>O53&gt;$AG53</formula>
    </cfRule>
  </conditionalFormatting>
  <conditionalFormatting sqref="D86:AF86 R100:X106 X47:AF47 X96:AF96 E72:AF73 Y74:AF74 Y67:AF69 AE100:AF106">
    <cfRule type="expression" dxfId="4969" priority="339">
      <formula>D$9&gt;=20/24</formula>
    </cfRule>
    <cfRule type="expression" dxfId="4968" priority="340">
      <formula>AND(D$9&gt;=14/24,D$9&lt;20/24)</formula>
    </cfRule>
    <cfRule type="expression" dxfId="4967" priority="341">
      <formula>AND(D$9&gt;=8/24,D$9&lt;14/24)</formula>
    </cfRule>
    <cfRule type="expression" dxfId="4966" priority="342">
      <formula>D$9&lt;8/24</formula>
    </cfRule>
  </conditionalFormatting>
  <conditionalFormatting sqref="X47:AF47 Y67:AF69">
    <cfRule type="expression" dxfId="4965" priority="338">
      <formula>X47&gt;$AG47</formula>
    </cfRule>
  </conditionalFormatting>
  <conditionalFormatting sqref="R53:S53 T53:X57 Y53:AB55">
    <cfRule type="expression" dxfId="4964" priority="334">
      <formula>R$9&gt;=20/24</formula>
    </cfRule>
    <cfRule type="expression" dxfId="4963" priority="335">
      <formula>AND(R$9&gt;=14/24,R$9&lt;20/24)</formula>
    </cfRule>
    <cfRule type="expression" dxfId="4962" priority="336">
      <formula>AND(R$9&gt;=8/24,R$9&lt;14/24)</formula>
    </cfRule>
    <cfRule type="expression" dxfId="4961" priority="337">
      <formula>R$9&lt;8/24</formula>
    </cfRule>
  </conditionalFormatting>
  <conditionalFormatting sqref="R53:S53 T53:X57 Y53:AB55">
    <cfRule type="expression" dxfId="4960" priority="333">
      <formula>R53&gt;$AG53</formula>
    </cfRule>
  </conditionalFormatting>
  <conditionalFormatting sqref="C97:AF97 L88:AF88">
    <cfRule type="expression" dxfId="4959" priority="329">
      <formula>C$9&gt;=20/24</formula>
    </cfRule>
    <cfRule type="expression" dxfId="4958" priority="330">
      <formula>AND(C$9&gt;=14/24,C$9&lt;20/24)</formula>
    </cfRule>
    <cfRule type="expression" dxfId="4957" priority="331">
      <formula>AND(C$9&gt;=8/24,C$9&lt;14/24)</formula>
    </cfRule>
    <cfRule type="expression" dxfId="4956" priority="332">
      <formula>C$9&lt;8/24</formula>
    </cfRule>
  </conditionalFormatting>
  <conditionalFormatting sqref="T47:W47">
    <cfRule type="expression" dxfId="4955" priority="325">
      <formula>T$9&gt;=20/24</formula>
    </cfRule>
    <cfRule type="expression" dxfId="4954" priority="326">
      <formula>AND(T$9&gt;=14/24,T$9&lt;20/24)</formula>
    </cfRule>
    <cfRule type="expression" dxfId="4953" priority="327">
      <formula>AND(T$9&gt;=8/24,T$9&lt;14/24)</formula>
    </cfRule>
    <cfRule type="expression" dxfId="4952" priority="328">
      <formula>T$9&lt;8/24</formula>
    </cfRule>
  </conditionalFormatting>
  <conditionalFormatting sqref="T47:W47">
    <cfRule type="expression" dxfId="4951" priority="324">
      <formula>T47&gt;$AG47</formula>
    </cfRule>
  </conditionalFormatting>
  <conditionalFormatting sqref="E54:N55 Y46:AF46">
    <cfRule type="expression" dxfId="4950" priority="320">
      <formula>E$9&gt;=20/24</formula>
    </cfRule>
    <cfRule type="expression" dxfId="4949" priority="321">
      <formula>AND(E$9&gt;=14/24,E$9&lt;20/24)</formula>
    </cfRule>
    <cfRule type="expression" dxfId="4948" priority="322">
      <formula>AND(E$9&gt;=8/24,E$9&lt;14/24)</formula>
    </cfRule>
    <cfRule type="expression" dxfId="4947" priority="323">
      <formula>E$9&lt;8/24</formula>
    </cfRule>
  </conditionalFormatting>
  <conditionalFormatting sqref="E53:N53">
    <cfRule type="expression" dxfId="4946" priority="316">
      <formula>E$9&gt;=20/24</formula>
    </cfRule>
    <cfRule type="expression" dxfId="4945" priority="317">
      <formula>AND(E$9&gt;=14/24,E$9&lt;20/24)</formula>
    </cfRule>
    <cfRule type="expression" dxfId="4944" priority="318">
      <formula>AND(E$9&gt;=8/24,E$9&lt;14/24)</formula>
    </cfRule>
    <cfRule type="expression" dxfId="4943" priority="319">
      <formula>E$9&lt;8/24</formula>
    </cfRule>
  </conditionalFormatting>
  <conditionalFormatting sqref="E53:N55 Y46:AF46">
    <cfRule type="expression" dxfId="4942" priority="315">
      <formula>E46&gt;$AG46</formula>
    </cfRule>
  </conditionalFormatting>
  <conditionalFormatting sqref="AG70 AG87 E100:Q106 T67:X69">
    <cfRule type="expression" dxfId="4941" priority="311">
      <formula>E$9&gt;=20/24</formula>
    </cfRule>
    <cfRule type="expression" dxfId="4940" priority="312">
      <formula>AND(E$9&gt;=14/24,E$9&lt;20/24)</formula>
    </cfRule>
    <cfRule type="expression" dxfId="4939" priority="313">
      <formula>AND(E$9&gt;=8/24,E$9&lt;14/24)</formula>
    </cfRule>
    <cfRule type="expression" dxfId="4938" priority="314">
      <formula>E$9&lt;8/24</formula>
    </cfRule>
  </conditionalFormatting>
  <conditionalFormatting sqref="AG48 AG66 AG70 T67:X69">
    <cfRule type="expression" dxfId="4937" priority="310">
      <formula>T48&gt;$AG48</formula>
    </cfRule>
  </conditionalFormatting>
  <conditionalFormatting sqref="Y58:AF58">
    <cfRule type="expression" dxfId="4936" priority="306">
      <formula>Y$9&gt;=20/24</formula>
    </cfRule>
    <cfRule type="expression" dxfId="4935" priority="307">
      <formula>AND(Y$9&gt;=14/24,Y$9&lt;20/24)</formula>
    </cfRule>
    <cfRule type="expression" dxfId="4934" priority="308">
      <formula>AND(Y$9&gt;=8/24,Y$9&lt;14/24)</formula>
    </cfRule>
    <cfRule type="expression" dxfId="4933" priority="309">
      <formula>Y$9&lt;8/24</formula>
    </cfRule>
  </conditionalFormatting>
  <conditionalFormatting sqref="Y58:AF58">
    <cfRule type="expression" dxfId="4932" priority="305">
      <formula>Y58&gt;$AG58</formula>
    </cfRule>
  </conditionalFormatting>
  <conditionalFormatting sqref="A43">
    <cfRule type="expression" dxfId="4931" priority="304">
      <formula>$AH43=0</formula>
    </cfRule>
  </conditionalFormatting>
  <conditionalFormatting sqref="X91:AF95">
    <cfRule type="expression" dxfId="4930" priority="300">
      <formula>X$9&gt;=20/24</formula>
    </cfRule>
    <cfRule type="expression" dxfId="4929" priority="301">
      <formula>AND(X$9&gt;=14/24,X$9&lt;20/24)</formula>
    </cfRule>
    <cfRule type="expression" dxfId="4928" priority="302">
      <formula>AND(X$9&gt;=8/24,X$9&lt;14/24)</formula>
    </cfRule>
    <cfRule type="expression" dxfId="4927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4926" priority="296">
      <formula>E$9&gt;=20/24</formula>
    </cfRule>
    <cfRule type="expression" dxfId="4925" priority="297">
      <formula>AND(E$9&gt;=14/24,E$9&lt;20/24)</formula>
    </cfRule>
    <cfRule type="expression" dxfId="4924" priority="298">
      <formula>AND(E$9&gt;=8/24,E$9&lt;14/24)</formula>
    </cfRule>
    <cfRule type="expression" dxfId="4923" priority="299">
      <formula>E$9&lt;8/24</formula>
    </cfRule>
  </conditionalFormatting>
  <conditionalFormatting sqref="E49:AF51">
    <cfRule type="expression" dxfId="4922" priority="295">
      <formula>E49&gt;$AG49</formula>
    </cfRule>
  </conditionalFormatting>
  <conditionalFormatting sqref="AG52">
    <cfRule type="expression" dxfId="4921" priority="291">
      <formula>AG$9&gt;=20/24</formula>
    </cfRule>
    <cfRule type="expression" dxfId="4920" priority="292">
      <formula>AND(AG$9&gt;=14/24,AG$9&lt;20/24)</formula>
    </cfRule>
    <cfRule type="expression" dxfId="4919" priority="293">
      <formula>AND(AG$9&gt;=8/24,AG$9&lt;14/24)</formula>
    </cfRule>
    <cfRule type="expression" dxfId="4918" priority="294">
      <formula>AG$9&lt;8/24</formula>
    </cfRule>
  </conditionalFormatting>
  <conditionalFormatting sqref="AG52">
    <cfRule type="expression" dxfId="4917" priority="290">
      <formula>AG52&gt;$AG52</formula>
    </cfRule>
  </conditionalFormatting>
  <conditionalFormatting sqref="C107:AF107">
    <cfRule type="expression" dxfId="4916" priority="286">
      <formula>C$9&gt;=20/24</formula>
    </cfRule>
    <cfRule type="expression" dxfId="4915" priority="287">
      <formula>AND(C$9&gt;=14/24,C$9&lt;20/24)</formula>
    </cfRule>
    <cfRule type="expression" dxfId="4914" priority="288">
      <formula>AND(C$9&gt;=8/24,C$9&lt;14/24)</formula>
    </cfRule>
    <cfRule type="expression" dxfId="4913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912" priority="284">
      <formula>$AH40=0</formula>
    </cfRule>
  </conditionalFormatting>
  <conditionalFormatting sqref="A90">
    <cfRule type="expression" dxfId="4911" priority="282">
      <formula>$AH90=0</formula>
    </cfRule>
  </conditionalFormatting>
  <conditionalFormatting sqref="A87">
    <cfRule type="expression" dxfId="4910" priority="283">
      <formula>$AH87=0</formula>
    </cfRule>
  </conditionalFormatting>
  <conditionalFormatting sqref="D110:AF110">
    <cfRule type="expression" dxfId="4909" priority="278">
      <formula>D$9&gt;=20/24</formula>
    </cfRule>
    <cfRule type="expression" dxfId="4908" priority="279">
      <formula>AND(D$9&gt;=14/24,D$9&lt;20/24)</formula>
    </cfRule>
    <cfRule type="expression" dxfId="4907" priority="280">
      <formula>AND(D$9&gt;=8/24,D$9&lt;14/24)</formula>
    </cfRule>
    <cfRule type="expression" dxfId="4906" priority="281">
      <formula>D$9&lt;8/24</formula>
    </cfRule>
  </conditionalFormatting>
  <conditionalFormatting sqref="A110">
    <cfRule type="expression" dxfId="4905" priority="277">
      <formula>$AH110=0</formula>
    </cfRule>
  </conditionalFormatting>
  <conditionalFormatting sqref="A21">
    <cfRule type="expression" dxfId="4904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903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4902" priority="269">
      <formula>Y$9&gt;=20/24</formula>
    </cfRule>
    <cfRule type="expression" dxfId="4901" priority="270">
      <formula>AND(Y$9&gt;=14/24,Y$9&lt;20/24)</formula>
    </cfRule>
    <cfRule type="expression" dxfId="4900" priority="271">
      <formula>AND(Y$9&gt;=8/24,Y$9&lt;14/24)</formula>
    </cfRule>
    <cfRule type="expression" dxfId="4899" priority="272">
      <formula>Y$9&lt;8/24</formula>
    </cfRule>
  </conditionalFormatting>
  <conditionalFormatting sqref="Y100:AD106">
    <cfRule type="expression" dxfId="4898" priority="265">
      <formula>Y$9&gt;=20/24</formula>
    </cfRule>
    <cfRule type="expression" dxfId="4897" priority="266">
      <formula>AND(Y$9&gt;=14/24,Y$9&lt;20/24)</formula>
    </cfRule>
    <cfRule type="expression" dxfId="4896" priority="267">
      <formula>AND(Y$9&gt;=8/24,Y$9&lt;14/24)</formula>
    </cfRule>
    <cfRule type="expression" dxfId="4895" priority="268">
      <formula>Y$9&lt;8/24</formula>
    </cfRule>
  </conditionalFormatting>
  <conditionalFormatting sqref="C109 C111:C116 H17:X17">
    <cfRule type="expression" dxfId="4894" priority="261">
      <formula>C$9&gt;=20/24</formula>
    </cfRule>
    <cfRule type="expression" dxfId="4893" priority="262">
      <formula>AND(C$9&gt;=14/24,C$9&lt;20/24)</formula>
    </cfRule>
    <cfRule type="expression" dxfId="4892" priority="263">
      <formula>AND(C$9&gt;=8/24,C$9&lt;14/24)</formula>
    </cfRule>
    <cfRule type="expression" dxfId="4891" priority="264">
      <formula>C$9&lt;8/24</formula>
    </cfRule>
  </conditionalFormatting>
  <conditionalFormatting sqref="C47:S47">
    <cfRule type="expression" dxfId="4890" priority="257">
      <formula>C$9&gt;=20/24</formula>
    </cfRule>
    <cfRule type="expression" dxfId="4889" priority="258">
      <formula>AND(C$9&gt;=14/24,C$9&lt;20/24)</formula>
    </cfRule>
    <cfRule type="expression" dxfId="4888" priority="259">
      <formula>AND(C$9&gt;=8/24,C$9&lt;14/24)</formula>
    </cfRule>
    <cfRule type="expression" dxfId="4887" priority="260">
      <formula>C$9&lt;8/24</formula>
    </cfRule>
  </conditionalFormatting>
  <conditionalFormatting sqref="C47:S47 H17:X17">
    <cfRule type="expression" dxfId="4886" priority="256">
      <formula>C17&gt;$AG17</formula>
    </cfRule>
  </conditionalFormatting>
  <conditionalFormatting sqref="D99">
    <cfRule type="expression" dxfId="4885" priority="252">
      <formula>D$9&gt;=20/24</formula>
    </cfRule>
    <cfRule type="expression" dxfId="4884" priority="253">
      <formula>AND(D$9&gt;=14/24,D$9&lt;20/24)</formula>
    </cfRule>
    <cfRule type="expression" dxfId="4883" priority="254">
      <formula>AND(D$9&gt;=8/24,D$9&lt;14/24)</formula>
    </cfRule>
    <cfRule type="expression" dxfId="4882" priority="255">
      <formula>D$9&lt;8/24</formula>
    </cfRule>
  </conditionalFormatting>
  <conditionalFormatting sqref="C86 D100:D106 C96:W96 C83:AF85 E67:S69 E74:X76 Y75:AF76">
    <cfRule type="expression" dxfId="4881" priority="239">
      <formula>C$9&gt;=20/24</formula>
    </cfRule>
    <cfRule type="expression" dxfId="4880" priority="240">
      <formula>AND(C$9&gt;=14/24,C$9&lt;20/24)</formula>
    </cfRule>
    <cfRule type="expression" dxfId="4879" priority="241">
      <formula>AND(C$9&gt;=8/24,C$9&lt;14/24)</formula>
    </cfRule>
    <cfRule type="expression" dxfId="4878" priority="242">
      <formula>C$9&lt;8/24</formula>
    </cfRule>
  </conditionalFormatting>
  <conditionalFormatting sqref="E56:N57 O56:S56 E67:S69">
    <cfRule type="expression" dxfId="4877" priority="238">
      <formula>E56&gt;$AG56</formula>
    </cfRule>
  </conditionalFormatting>
  <conditionalFormatting sqref="E58:X58">
    <cfRule type="expression" dxfId="4876" priority="234">
      <formula>E$9&gt;=20/24</formula>
    </cfRule>
    <cfRule type="expression" dxfId="4875" priority="235">
      <formula>AND(E$9&gt;=14/24,E$9&lt;20/24)</formula>
    </cfRule>
    <cfRule type="expression" dxfId="4874" priority="236">
      <formula>AND(E$9&gt;=8/24,E$9&lt;14/24)</formula>
    </cfRule>
    <cfRule type="expression" dxfId="4873" priority="237">
      <formula>E$9&lt;8/24</formula>
    </cfRule>
  </conditionalFormatting>
  <conditionalFormatting sqref="E58:X58">
    <cfRule type="expression" dxfId="4872" priority="233">
      <formula>E58&gt;$AG58</formula>
    </cfRule>
  </conditionalFormatting>
  <conditionalFormatting sqref="B54:D57 B71:D71">
    <cfRule type="expression" dxfId="4871" priority="152">
      <formula>B$9&gt;=20/24</formula>
    </cfRule>
    <cfRule type="expression" dxfId="4870" priority="153">
      <formula>AND(B$9&gt;=14/24,B$9&lt;20/24)</formula>
    </cfRule>
    <cfRule type="expression" dxfId="4869" priority="154">
      <formula>AND(B$9&gt;=8/24,B$9&lt;14/24)</formula>
    </cfRule>
    <cfRule type="expression" dxfId="4868" priority="155">
      <formula>B$9&lt;8/24</formula>
    </cfRule>
  </conditionalFormatting>
  <conditionalFormatting sqref="C70:AF70 C87:AF87 C89:AF89 C98:AF98">
    <cfRule type="expression" dxfId="4867" priority="224">
      <formula>C$9&gt;=20/24</formula>
    </cfRule>
    <cfRule type="expression" dxfId="4866" priority="225">
      <formula>AND(C$9&gt;=14/24,C$9&lt;20/24)</formula>
    </cfRule>
    <cfRule type="expression" dxfId="4865" priority="226">
      <formula>AND(C$9&gt;=8/24,C$9&lt;14/24)</formula>
    </cfRule>
    <cfRule type="expression" dxfId="4864" priority="227">
      <formula>C$9&lt;8/24</formula>
    </cfRule>
  </conditionalFormatting>
  <conditionalFormatting sqref="C48:AF48 C65:AF66 C70:AF70">
    <cfRule type="expression" dxfId="4863" priority="223">
      <formula>C48&gt;$AG48</formula>
    </cfRule>
  </conditionalFormatting>
  <conditionalFormatting sqref="C82:AF82">
    <cfRule type="expression" dxfId="4862" priority="219">
      <formula>C$9&gt;=20/24</formula>
    </cfRule>
    <cfRule type="expression" dxfId="4861" priority="220">
      <formula>AND(C$9&gt;=14/24,C$9&lt;20/24)</formula>
    </cfRule>
    <cfRule type="expression" dxfId="4860" priority="221">
      <formula>AND(C$9&gt;=8/24,C$9&lt;14/24)</formula>
    </cfRule>
    <cfRule type="expression" dxfId="4859" priority="222">
      <formula>C$9&lt;8/24</formula>
    </cfRule>
  </conditionalFormatting>
  <conditionalFormatting sqref="C91:W95">
    <cfRule type="expression" dxfId="4858" priority="215">
      <formula>C$9&gt;=20/24</formula>
    </cfRule>
    <cfRule type="expression" dxfId="4857" priority="216">
      <formula>AND(C$9&gt;=14/24,C$9&lt;20/24)</formula>
    </cfRule>
    <cfRule type="expression" dxfId="4856" priority="217">
      <formula>AND(C$9&gt;=8/24,C$9&lt;14/24)</formula>
    </cfRule>
    <cfRule type="expression" dxfId="4855" priority="218">
      <formula>C$9&lt;8/24</formula>
    </cfRule>
  </conditionalFormatting>
  <conditionalFormatting sqref="C52:AF52">
    <cfRule type="expression" dxfId="4854" priority="206">
      <formula>C$9&gt;=20/24</formula>
    </cfRule>
    <cfRule type="expression" dxfId="4853" priority="207">
      <formula>AND(C$9&gt;=14/24,C$9&lt;20/24)</formula>
    </cfRule>
    <cfRule type="expression" dxfId="4852" priority="208">
      <formula>AND(C$9&gt;=8/24,C$9&lt;14/24)</formula>
    </cfRule>
    <cfRule type="expression" dxfId="4851" priority="209">
      <formula>C$9&lt;8/24</formula>
    </cfRule>
  </conditionalFormatting>
  <conditionalFormatting sqref="C52:AF52">
    <cfRule type="expression" dxfId="4850" priority="205">
      <formula>C52&gt;$AG52</formula>
    </cfRule>
  </conditionalFormatting>
  <conditionalFormatting sqref="B49:D51">
    <cfRule type="expression" dxfId="4849" priority="120">
      <formula>B$9&gt;=20/24</formula>
    </cfRule>
    <cfRule type="expression" dxfId="4848" priority="121">
      <formula>AND(B$9&gt;=14/24,B$9&lt;20/24)</formula>
    </cfRule>
    <cfRule type="expression" dxfId="4847" priority="122">
      <formula>AND(B$9&gt;=8/24,B$9&lt;14/24)</formula>
    </cfRule>
    <cfRule type="expression" dxfId="4846" priority="123">
      <formula>B$9&lt;8/24</formula>
    </cfRule>
  </conditionalFormatting>
  <conditionalFormatting sqref="C110">
    <cfRule type="expression" dxfId="4845" priority="197">
      <formula>C$9&gt;=20/24</formula>
    </cfRule>
    <cfRule type="expression" dxfId="4844" priority="198">
      <formula>AND(C$9&gt;=14/24,C$9&lt;20/24)</formula>
    </cfRule>
    <cfRule type="expression" dxfId="4843" priority="199">
      <formula>AND(C$9&gt;=8/24,C$9&lt;14/24)</formula>
    </cfRule>
    <cfRule type="expression" dxfId="4842" priority="200">
      <formula>C$9&lt;8/24</formula>
    </cfRule>
  </conditionalFormatting>
  <conditionalFormatting sqref="E59:AF64">
    <cfRule type="expression" dxfId="4841" priority="193">
      <formula>E$9&gt;=20/24</formula>
    </cfRule>
    <cfRule type="expression" dxfId="4840" priority="194">
      <formula>AND(E$9&gt;=14/24,E$9&lt;20/24)</formula>
    </cfRule>
    <cfRule type="expression" dxfId="4839" priority="195">
      <formula>AND(E$9&gt;=8/24,E$9&lt;14/24)</formula>
    </cfRule>
    <cfRule type="expression" dxfId="4838" priority="196">
      <formula>E$9&lt;8/24</formula>
    </cfRule>
  </conditionalFormatting>
  <conditionalFormatting sqref="E59:AF64">
    <cfRule type="expression" dxfId="4837" priority="192">
      <formula>E59&gt;$AG59</formula>
    </cfRule>
  </conditionalFormatting>
  <conditionalFormatting sqref="E13:J14 B15:J15 K13:X15">
    <cfRule type="expression" dxfId="4836" priority="191">
      <formula>B13&gt;$AG13</formula>
    </cfRule>
  </conditionalFormatting>
  <conditionalFormatting sqref="E12:X12">
    <cfRule type="expression" dxfId="4835" priority="187">
      <formula>E$9&gt;=20/24</formula>
    </cfRule>
    <cfRule type="expression" dxfId="4834" priority="188">
      <formula>AND(E$9&gt;=14/24,E$9&lt;20/24)</formula>
    </cfRule>
    <cfRule type="expression" dxfId="4833" priority="189">
      <formula>AND(E$9&gt;=8/24,E$9&lt;14/24)</formula>
    </cfRule>
    <cfRule type="expression" dxfId="4832" priority="190">
      <formula>E$9&lt;8/24</formula>
    </cfRule>
  </conditionalFormatting>
  <conditionalFormatting sqref="E12:X12">
    <cfRule type="expression" dxfId="4831" priority="186">
      <formula>E12&gt;$AG12</formula>
    </cfRule>
  </conditionalFormatting>
  <conditionalFormatting sqref="E13:J14 B15:J15 K13:X15">
    <cfRule type="expression" dxfId="4830" priority="182">
      <formula>B$9&gt;=20/24</formula>
    </cfRule>
    <cfRule type="expression" dxfId="4829" priority="183">
      <formula>AND(B$9&gt;=14/24,B$9&lt;20/24)</formula>
    </cfRule>
    <cfRule type="expression" dxfId="4828" priority="184">
      <formula>AND(B$9&gt;=8/24,B$9&lt;14/24)</formula>
    </cfRule>
    <cfRule type="expression" dxfId="4827" priority="185">
      <formula>B$9&lt;8/24</formula>
    </cfRule>
  </conditionalFormatting>
  <conditionalFormatting sqref="E77:AF81">
    <cfRule type="expression" dxfId="4826" priority="174">
      <formula>E$9&gt;=20/24</formula>
    </cfRule>
    <cfRule type="expression" dxfId="4825" priority="175">
      <formula>AND(E$9&gt;=14/24,E$9&lt;20/24)</formula>
    </cfRule>
    <cfRule type="expression" dxfId="4824" priority="176">
      <formula>AND(E$9&gt;=8/24,E$9&lt;14/24)</formula>
    </cfRule>
    <cfRule type="expression" dxfId="4823" priority="177">
      <formula>E$9&lt;8/24</formula>
    </cfRule>
  </conditionalFormatting>
  <conditionalFormatting sqref="AL78:AN78 AL84:AN84 AN79:AN80">
    <cfRule type="expression" dxfId="4822" priority="170">
      <formula>AL$9&gt;=20/24</formula>
    </cfRule>
    <cfRule type="expression" dxfId="4821" priority="171">
      <formula>AND(AL$9&gt;=14/24,AL$9&lt;20/24)</formula>
    </cfRule>
    <cfRule type="expression" dxfId="4820" priority="172">
      <formula>AND(AL$9&gt;=8/24,AL$9&lt;14/24)</formula>
    </cfRule>
    <cfRule type="expression" dxfId="4819" priority="173">
      <formula>AL$9&lt;8/24</formula>
    </cfRule>
  </conditionalFormatting>
  <conditionalFormatting sqref="AN81:AN82">
    <cfRule type="expression" dxfId="4818" priority="166">
      <formula>AN$9&gt;=20/24</formula>
    </cfRule>
    <cfRule type="expression" dxfId="4817" priority="167">
      <formula>AND(AN$9&gt;=14/24,AN$9&lt;20/24)</formula>
    </cfRule>
    <cfRule type="expression" dxfId="4816" priority="168">
      <formula>AND(AN$9&gt;=8/24,AN$9&lt;14/24)</formula>
    </cfRule>
    <cfRule type="expression" dxfId="4815" priority="169">
      <formula>AN$9&lt;8/24</formula>
    </cfRule>
  </conditionalFormatting>
  <conditionalFormatting sqref="AL79:AM83">
    <cfRule type="expression" dxfId="4814" priority="402">
      <formula>AJ$9&gt;=20/24</formula>
    </cfRule>
    <cfRule type="expression" dxfId="4813" priority="403">
      <formula>AND(AJ$9&gt;=14/24,AJ$9&lt;20/24)</formula>
    </cfRule>
    <cfRule type="expression" dxfId="4812" priority="404">
      <formula>AND(AJ$9&gt;=8/24,AJ$9&lt;14/24)</formula>
    </cfRule>
    <cfRule type="expression" dxfId="4811" priority="405">
      <formula>AJ$9&lt;8/24</formula>
    </cfRule>
  </conditionalFormatting>
  <conditionalFormatting sqref="A117">
    <cfRule type="expression" dxfId="4810" priority="165">
      <formula>$AH117=0</formula>
    </cfRule>
  </conditionalFormatting>
  <conditionalFormatting sqref="B109 B111:B116 B12:D14 B17:G32 H18:X32 B34:X43 B45:X45">
    <cfRule type="expression" dxfId="4809" priority="161">
      <formula>B$9&gt;=20/24</formula>
    </cfRule>
    <cfRule type="expression" dxfId="4808" priority="162">
      <formula>AND(B$9&gt;=14/24,B$9&lt;20/24)</formula>
    </cfRule>
    <cfRule type="expression" dxfId="4807" priority="163">
      <formula>AND(B$9&gt;=8/24,B$9&lt;14/24)</formula>
    </cfRule>
    <cfRule type="expression" dxfId="4806" priority="164">
      <formula>B$9&lt;8/24</formula>
    </cfRule>
  </conditionalFormatting>
  <conditionalFormatting sqref="B12:D14 B17:G32 H18:X32 B34:X43 B45:X45">
    <cfRule type="expression" dxfId="4805" priority="160">
      <formula>B12&gt;$AG12</formula>
    </cfRule>
  </conditionalFormatting>
  <conditionalFormatting sqref="B99:C99">
    <cfRule type="expression" dxfId="4804" priority="156">
      <formula>B$9&gt;=20/24</formula>
    </cfRule>
    <cfRule type="expression" dxfId="4803" priority="157">
      <formula>AND(B$9&gt;=14/24,B$9&lt;20/24)</formula>
    </cfRule>
    <cfRule type="expression" dxfId="4802" priority="158">
      <formula>AND(B$9&gt;=8/24,B$9&lt;14/24)</formula>
    </cfRule>
    <cfRule type="expression" dxfId="4801" priority="159">
      <formula>B$9&lt;8/24</formula>
    </cfRule>
  </conditionalFormatting>
  <conditionalFormatting sqref="B53:D53">
    <cfRule type="expression" dxfId="4800" priority="148">
      <formula>B$9&gt;=20/24</formula>
    </cfRule>
    <cfRule type="expression" dxfId="4799" priority="149">
      <formula>AND(B$9&gt;=14/24,B$9&lt;20/24)</formula>
    </cfRule>
    <cfRule type="expression" dxfId="4798" priority="150">
      <formula>AND(B$9&gt;=8/24,B$9&lt;14/24)</formula>
    </cfRule>
    <cfRule type="expression" dxfId="4797" priority="151">
      <formula>B$9&lt;8/24</formula>
    </cfRule>
  </conditionalFormatting>
  <conditionalFormatting sqref="B53:D57">
    <cfRule type="expression" dxfId="4796" priority="147">
      <formula>B53&gt;$AG53</formula>
    </cfRule>
  </conditionalFormatting>
  <conditionalFormatting sqref="B96 B86 B47 B100:C106 B67:D69 B72:D74">
    <cfRule type="expression" dxfId="4795" priority="143">
      <formula>B$9&gt;=20/24</formula>
    </cfRule>
    <cfRule type="expression" dxfId="4794" priority="144">
      <formula>AND(B$9&gt;=14/24,B$9&lt;20/24)</formula>
    </cfRule>
    <cfRule type="expression" dxfId="4793" priority="145">
      <formula>AND(B$9&gt;=8/24,B$9&lt;14/24)</formula>
    </cfRule>
    <cfRule type="expression" dxfId="4792" priority="146">
      <formula>B$9&lt;8/24</formula>
    </cfRule>
  </conditionalFormatting>
  <conditionalFormatting sqref="B47 B67:D69">
    <cfRule type="expression" dxfId="4791" priority="142">
      <formula>B47&gt;$AG47</formula>
    </cfRule>
  </conditionalFormatting>
  <conditionalFormatting sqref="B97 B88:K88">
    <cfRule type="expression" dxfId="4790" priority="138">
      <formula>B$9&gt;=20/24</formula>
    </cfRule>
    <cfRule type="expression" dxfId="4789" priority="139">
      <formula>AND(B$9&gt;=14/24,B$9&lt;20/24)</formula>
    </cfRule>
    <cfRule type="expression" dxfId="4788" priority="140">
      <formula>AND(B$9&gt;=8/24,B$9&lt;14/24)</formula>
    </cfRule>
    <cfRule type="expression" dxfId="4787" priority="141">
      <formula>B$9&lt;8/24</formula>
    </cfRule>
  </conditionalFormatting>
  <conditionalFormatting sqref="B46:X46">
    <cfRule type="expression" dxfId="4786" priority="134">
      <formula>B$9&gt;=20/24</formula>
    </cfRule>
    <cfRule type="expression" dxfId="4785" priority="135">
      <formula>AND(B$9&gt;=14/24,B$9&lt;20/24)</formula>
    </cfRule>
    <cfRule type="expression" dxfId="4784" priority="136">
      <formula>AND(B$9&gt;=8/24,B$9&lt;14/24)</formula>
    </cfRule>
    <cfRule type="expression" dxfId="4783" priority="137">
      <formula>B$9&lt;8/24</formula>
    </cfRule>
  </conditionalFormatting>
  <conditionalFormatting sqref="B46:X46">
    <cfRule type="expression" dxfId="4782" priority="133">
      <formula>B46&gt;$AG46</formula>
    </cfRule>
  </conditionalFormatting>
  <conditionalFormatting sqref="B58:D58">
    <cfRule type="expression" dxfId="4781" priority="129">
      <formula>B$9&gt;=20/24</formula>
    </cfRule>
    <cfRule type="expression" dxfId="4780" priority="130">
      <formula>AND(B$9&gt;=14/24,B$9&lt;20/24)</formula>
    </cfRule>
    <cfRule type="expression" dxfId="4779" priority="131">
      <formula>AND(B$9&gt;=8/24,B$9&lt;14/24)</formula>
    </cfRule>
    <cfRule type="expression" dxfId="4778" priority="132">
      <formula>B$9&lt;8/24</formula>
    </cfRule>
  </conditionalFormatting>
  <conditionalFormatting sqref="B58:D58">
    <cfRule type="expression" dxfId="4777" priority="128">
      <formula>B58&gt;$AG58</formula>
    </cfRule>
  </conditionalFormatting>
  <conditionalFormatting sqref="B91:B95">
    <cfRule type="expression" dxfId="4776" priority="124">
      <formula>B$9&gt;=20/24</formula>
    </cfRule>
    <cfRule type="expression" dxfId="4775" priority="125">
      <formula>AND(B$9&gt;=14/24,B$9&lt;20/24)</formula>
    </cfRule>
    <cfRule type="expression" dxfId="4774" priority="126">
      <formula>AND(B$9&gt;=8/24,B$9&lt;14/24)</formula>
    </cfRule>
    <cfRule type="expression" dxfId="4773" priority="127">
      <formula>B$9&lt;8/24</formula>
    </cfRule>
  </conditionalFormatting>
  <conditionalFormatting sqref="B49:D51">
    <cfRule type="expression" dxfId="4772" priority="119">
      <formula>B49&gt;$AG49</formula>
    </cfRule>
  </conditionalFormatting>
  <conditionalFormatting sqref="B107">
    <cfRule type="expression" dxfId="4771" priority="115">
      <formula>B$9&gt;=20/24</formula>
    </cfRule>
    <cfRule type="expression" dxfId="4770" priority="116">
      <formula>AND(B$9&gt;=14/24,B$9&lt;20/24)</formula>
    </cfRule>
    <cfRule type="expression" dxfId="4769" priority="117">
      <formula>AND(B$9&gt;=8/24,B$9&lt;14/24)</formula>
    </cfRule>
    <cfRule type="expression" dxfId="4768" priority="118">
      <formula>B$9&lt;8/24</formula>
    </cfRule>
  </conditionalFormatting>
  <conditionalFormatting sqref="B110">
    <cfRule type="expression" dxfId="4767" priority="111">
      <formula>B$9&gt;=20/24</formula>
    </cfRule>
    <cfRule type="expression" dxfId="4766" priority="112">
      <formula>AND(B$9&gt;=14/24,B$9&lt;20/24)</formula>
    </cfRule>
    <cfRule type="expression" dxfId="4765" priority="113">
      <formula>AND(B$9&gt;=8/24,B$9&lt;14/24)</formula>
    </cfRule>
    <cfRule type="expression" dxfId="4764" priority="114">
      <formula>B$9&lt;8/24</formula>
    </cfRule>
  </conditionalFormatting>
  <conditionalFormatting sqref="B83:B85 B75:D76">
    <cfRule type="expression" dxfId="4763" priority="107">
      <formula>B$9&gt;=20/24</formula>
    </cfRule>
    <cfRule type="expression" dxfId="4762" priority="108">
      <formula>AND(B$9&gt;=14/24,B$9&lt;20/24)</formula>
    </cfRule>
    <cfRule type="expression" dxfId="4761" priority="109">
      <formula>AND(B$9&gt;=8/24,B$9&lt;14/24)</formula>
    </cfRule>
    <cfRule type="expression" dxfId="4760" priority="110">
      <formula>B$9&lt;8/24</formula>
    </cfRule>
  </conditionalFormatting>
  <conditionalFormatting sqref="B89 B98 B70 B87">
    <cfRule type="expression" dxfId="4759" priority="103">
      <formula>B$9&gt;=20/24</formula>
    </cfRule>
    <cfRule type="expression" dxfId="4758" priority="104">
      <formula>AND(B$9&gt;=14/24,B$9&lt;20/24)</formula>
    </cfRule>
    <cfRule type="expression" dxfId="4757" priority="105">
      <formula>AND(B$9&gt;=8/24,B$9&lt;14/24)</formula>
    </cfRule>
    <cfRule type="expression" dxfId="4756" priority="106">
      <formula>B$9&lt;8/24</formula>
    </cfRule>
  </conditionalFormatting>
  <conditionalFormatting sqref="B48 B65:B66 B70">
    <cfRule type="expression" dxfId="4755" priority="102">
      <formula>B48&gt;$AG48</formula>
    </cfRule>
  </conditionalFormatting>
  <conditionalFormatting sqref="B82">
    <cfRule type="expression" dxfId="4754" priority="98">
      <formula>B$9&gt;=20/24</formula>
    </cfRule>
    <cfRule type="expression" dxfId="4753" priority="99">
      <formula>AND(B$9&gt;=14/24,B$9&lt;20/24)</formula>
    </cfRule>
    <cfRule type="expression" dxfId="4752" priority="100">
      <formula>AND(B$9&gt;=8/24,B$9&lt;14/24)</formula>
    </cfRule>
    <cfRule type="expression" dxfId="4751" priority="101">
      <formula>B$9&lt;8/24</formula>
    </cfRule>
  </conditionalFormatting>
  <conditionalFormatting sqref="B52">
    <cfRule type="expression" dxfId="4750" priority="94">
      <formula>B$9&gt;=20/24</formula>
    </cfRule>
    <cfRule type="expression" dxfId="4749" priority="95">
      <formula>AND(B$9&gt;=14/24,B$9&lt;20/24)</formula>
    </cfRule>
    <cfRule type="expression" dxfId="4748" priority="96">
      <formula>AND(B$9&gt;=8/24,B$9&lt;14/24)</formula>
    </cfRule>
    <cfRule type="expression" dxfId="4747" priority="97">
      <formula>B$9&lt;8/24</formula>
    </cfRule>
  </conditionalFormatting>
  <conditionalFormatting sqref="B52">
    <cfRule type="expression" dxfId="4746" priority="93">
      <formula>B52&gt;$AG52</formula>
    </cfRule>
  </conditionalFormatting>
  <conditionalFormatting sqref="B59:D64">
    <cfRule type="expression" dxfId="4745" priority="85">
      <formula>B$9&gt;=20/24</formula>
    </cfRule>
    <cfRule type="expression" dxfId="4744" priority="86">
      <formula>AND(B$9&gt;=14/24,B$9&lt;20/24)</formula>
    </cfRule>
    <cfRule type="expression" dxfId="4743" priority="87">
      <formula>AND(B$9&gt;=8/24,B$9&lt;14/24)</formula>
    </cfRule>
    <cfRule type="expression" dxfId="4742" priority="88">
      <formula>B$9&lt;8/24</formula>
    </cfRule>
  </conditionalFormatting>
  <conditionalFormatting sqref="B59:D64">
    <cfRule type="expression" dxfId="4741" priority="84">
      <formula>B59&gt;$AG59</formula>
    </cfRule>
  </conditionalFormatting>
  <conditionalFormatting sqref="B77:D81">
    <cfRule type="expression" dxfId="4740" priority="80">
      <formula>B$9&gt;=20/24</formula>
    </cfRule>
    <cfRule type="expression" dxfId="4739" priority="81">
      <formula>AND(B$9&gt;=14/24,B$9&lt;20/24)</formula>
    </cfRule>
    <cfRule type="expression" dxfId="4738" priority="82">
      <formula>AND(B$9&gt;=8/24,B$9&lt;14/24)</formula>
    </cfRule>
    <cfRule type="expression" dxfId="4737" priority="83">
      <formula>B$9&lt;8/24</formula>
    </cfRule>
  </conditionalFormatting>
  <conditionalFormatting sqref="Y11:AF11">
    <cfRule type="expression" dxfId="4736" priority="76">
      <formula>Y$9&gt;=20/24</formula>
    </cfRule>
    <cfRule type="expression" dxfId="4735" priority="77">
      <formula>AND(Y$9&gt;=14/24,Y$9&lt;20/24)</formula>
    </cfRule>
    <cfRule type="expression" dxfId="4734" priority="78">
      <formula>AND(Y$9&gt;=8/24,Y$9&lt;14/24)</formula>
    </cfRule>
    <cfRule type="expression" dxfId="4733" priority="79">
      <formula>Y$9&lt;8/24</formula>
    </cfRule>
  </conditionalFormatting>
  <conditionalFormatting sqref="Y11:AF11">
    <cfRule type="expression" dxfId="4732" priority="75">
      <formula>Y11&gt;$AG11</formula>
    </cfRule>
  </conditionalFormatting>
  <conditionalFormatting sqref="A11">
    <cfRule type="expression" dxfId="4731" priority="74">
      <formula>$AH11=0</formula>
    </cfRule>
  </conditionalFormatting>
  <conditionalFormatting sqref="B11:X11">
    <cfRule type="expression" dxfId="4730" priority="65">
      <formula>B$9&gt;=20/24</formula>
    </cfRule>
    <cfRule type="expression" dxfId="4729" priority="66">
      <formula>AND(B$9&gt;=14/24,B$9&lt;20/24)</formula>
    </cfRule>
    <cfRule type="expression" dxfId="4728" priority="67">
      <formula>AND(B$9&gt;=8/24,B$9&lt;14/24)</formula>
    </cfRule>
    <cfRule type="expression" dxfId="4727" priority="68">
      <formula>B$9&lt;8/24</formula>
    </cfRule>
  </conditionalFormatting>
  <conditionalFormatting sqref="B11:X11">
    <cfRule type="expression" dxfId="4726" priority="64">
      <formula>B11&gt;$AG11</formula>
    </cfRule>
  </conditionalFormatting>
  <conditionalFormatting sqref="Y16:AF16">
    <cfRule type="expression" dxfId="4725" priority="59">
      <formula>Y$9&gt;=20/24</formula>
    </cfRule>
    <cfRule type="expression" dxfId="4724" priority="60">
      <formula>AND(Y$9&gt;=14/24,Y$9&lt;20/24)</formula>
    </cfRule>
    <cfRule type="expression" dxfId="4723" priority="61">
      <formula>AND(Y$9&gt;=8/24,Y$9&lt;14/24)</formula>
    </cfRule>
    <cfRule type="expression" dxfId="4722" priority="62">
      <formula>Y$9&lt;8/24</formula>
    </cfRule>
  </conditionalFormatting>
  <conditionalFormatting sqref="Y16:AF16">
    <cfRule type="expression" dxfId="4721" priority="58">
      <formula>Y16&gt;$AG16</formula>
    </cfRule>
  </conditionalFormatting>
  <conditionalFormatting sqref="A16">
    <cfRule type="expression" dxfId="4720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H16:X16">
    <cfRule type="expression" dxfId="4719" priority="53">
      <formula>H$9&gt;=20/24</formula>
    </cfRule>
    <cfRule type="expression" dxfId="4718" priority="54">
      <formula>AND(H$9&gt;=14/24,H$9&lt;20/24)</formula>
    </cfRule>
    <cfRule type="expression" dxfId="4717" priority="55">
      <formula>AND(H$9&gt;=8/24,H$9&lt;14/24)</formula>
    </cfRule>
    <cfRule type="expression" dxfId="4716" priority="56">
      <formula>H$9&lt;8/24</formula>
    </cfRule>
  </conditionalFormatting>
  <conditionalFormatting sqref="H16:X16">
    <cfRule type="expression" dxfId="4715" priority="52">
      <formula>H16&gt;$AG16</formula>
    </cfRule>
  </conditionalFormatting>
  <conditionalFormatting sqref="B16:G16">
    <cfRule type="expression" dxfId="4714" priority="48">
      <formula>B$9&gt;=20/24</formula>
    </cfRule>
    <cfRule type="expression" dxfId="4713" priority="49">
      <formula>AND(B$9&gt;=14/24,B$9&lt;20/24)</formula>
    </cfRule>
    <cfRule type="expression" dxfId="4712" priority="50">
      <formula>AND(B$9&gt;=8/24,B$9&lt;14/24)</formula>
    </cfRule>
    <cfRule type="expression" dxfId="4711" priority="51">
      <formula>B$9&lt;8/24</formula>
    </cfRule>
  </conditionalFormatting>
  <conditionalFormatting sqref="B16:G16">
    <cfRule type="expression" dxfId="4710" priority="47">
      <formula>B16&gt;$AG16</formula>
    </cfRule>
  </conditionalFormatting>
  <conditionalFormatting sqref="Y33:AF33">
    <cfRule type="expression" dxfId="4709" priority="42">
      <formula>Y$9&gt;=20/24</formula>
    </cfRule>
    <cfRule type="expression" dxfId="4708" priority="43">
      <formula>AND(Y$9&gt;=14/24,Y$9&lt;20/24)</formula>
    </cfRule>
    <cfRule type="expression" dxfId="4707" priority="44">
      <formula>AND(Y$9&gt;=8/24,Y$9&lt;14/24)</formula>
    </cfRule>
    <cfRule type="expression" dxfId="4706" priority="45">
      <formula>Y$9&lt;8/24</formula>
    </cfRule>
  </conditionalFormatting>
  <conditionalFormatting sqref="Y33:AF33">
    <cfRule type="expression" dxfId="4705" priority="41">
      <formula>Y33&gt;$AG33</formula>
    </cfRule>
  </conditionalFormatting>
  <conditionalFormatting sqref="A33">
    <cfRule type="expression" dxfId="4704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4703" priority="31">
      <formula>B$9&gt;=20/24</formula>
    </cfRule>
    <cfRule type="expression" dxfId="4702" priority="32">
      <formula>AND(B$9&gt;=14/24,B$9&lt;20/24)</formula>
    </cfRule>
    <cfRule type="expression" dxfId="4701" priority="33">
      <formula>AND(B$9&gt;=8/24,B$9&lt;14/24)</formula>
    </cfRule>
    <cfRule type="expression" dxfId="4700" priority="34">
      <formula>B$9&lt;8/24</formula>
    </cfRule>
  </conditionalFormatting>
  <conditionalFormatting sqref="B33:X33">
    <cfRule type="expression" dxfId="4699" priority="30">
      <formula>B33&gt;$AG33</formula>
    </cfRule>
  </conditionalFormatting>
  <conditionalFormatting sqref="Y44:AF44">
    <cfRule type="expression" dxfId="4698" priority="25">
      <formula>Y$9&gt;=20/24</formula>
    </cfRule>
    <cfRule type="expression" dxfId="4697" priority="26">
      <formula>AND(Y$9&gt;=14/24,Y$9&lt;20/24)</formula>
    </cfRule>
    <cfRule type="expression" dxfId="4696" priority="27">
      <formula>AND(Y$9&gt;=8/24,Y$9&lt;14/24)</formula>
    </cfRule>
    <cfRule type="expression" dxfId="4695" priority="28">
      <formula>Y$9&lt;8/24</formula>
    </cfRule>
  </conditionalFormatting>
  <conditionalFormatting sqref="Y44:AF44">
    <cfRule type="expression" dxfId="4694" priority="24">
      <formula>Y44&gt;$AG44</formula>
    </cfRule>
  </conditionalFormatting>
  <conditionalFormatting sqref="A44">
    <cfRule type="expression" dxfId="4693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4692" priority="14">
      <formula>B$9&gt;=20/24</formula>
    </cfRule>
    <cfRule type="expression" dxfId="4691" priority="15">
      <formula>AND(B$9&gt;=14/24,B$9&lt;20/24)</formula>
    </cfRule>
    <cfRule type="expression" dxfId="4690" priority="16">
      <formula>AND(B$9&gt;=8/24,B$9&lt;14/24)</formula>
    </cfRule>
    <cfRule type="expression" dxfId="4689" priority="17">
      <formula>B$9&lt;8/24</formula>
    </cfRule>
  </conditionalFormatting>
  <conditionalFormatting sqref="B44:X44">
    <cfRule type="expression" dxfId="4688" priority="13">
      <formula>B44&gt;$AG44</formula>
    </cfRule>
  </conditionalFormatting>
  <conditionalFormatting sqref="B117">
    <cfRule type="expression" dxfId="4687" priority="1">
      <formula>B$9&gt;=20/24</formula>
    </cfRule>
    <cfRule type="expression" dxfId="4686" priority="2">
      <formula>AND(B$9&gt;=14/24,B$9&lt;20/24)</formula>
    </cfRule>
    <cfRule type="expression" dxfId="4685" priority="3">
      <formula>AND(B$9&gt;=8/24,B$9&lt;14/24)</formula>
    </cfRule>
    <cfRule type="expression" dxfId="4684" priority="4">
      <formula>B$9&lt;8/24</formula>
    </cfRule>
  </conditionalFormatting>
  <conditionalFormatting sqref="D117:AF117">
    <cfRule type="expression" dxfId="4683" priority="9">
      <formula>D$9&gt;=20/24</formula>
    </cfRule>
    <cfRule type="expression" dxfId="4682" priority="10">
      <formula>AND(D$9&gt;=14/24,D$9&lt;20/24)</formula>
    </cfRule>
    <cfRule type="expression" dxfId="4681" priority="11">
      <formula>AND(D$9&gt;=8/24,D$9&lt;14/24)</formula>
    </cfRule>
    <cfRule type="expression" dxfId="4680" priority="12">
      <formula>D$9&lt;8/24</formula>
    </cfRule>
  </conditionalFormatting>
  <conditionalFormatting sqref="C117">
    <cfRule type="expression" dxfId="4679" priority="5">
      <formula>C$9&gt;=20/24</formula>
    </cfRule>
    <cfRule type="expression" dxfId="4678" priority="6">
      <formula>AND(C$9&gt;=14/24,C$9&lt;20/24)</formula>
    </cfRule>
    <cfRule type="expression" dxfId="4677" priority="7">
      <formula>AND(C$9&gt;=8/24,C$9&lt;14/24)</formula>
    </cfRule>
    <cfRule type="expression" dxfId="467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FD7B1001-C11E-4062-B7B9-1D9B67528CD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4F2BCED7-440D-485A-8AD8-B82AF9AFCCB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2AE8DC28-61C5-4EB4-88E2-C70CD30C4AB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AA7A6621-A172-416D-B5F9-4DD6339F5C2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EC998347-174D-45DC-90F2-E15ED930886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C3104310-1ADE-4DED-88F5-36BEF815A9D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645D9103-8C21-4DAA-A9BE-EF806356709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85D3B116-01A8-4724-BFC1-3F3DAD18519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8"/>
  <sheetViews>
    <sheetView zoomScaleNormal="100" workbookViewId="0">
      <pane ySplit="10" topLeftCell="A97" activePane="bottomLeft" state="frozen"/>
      <selection activeCell="Z85" sqref="Z85"/>
      <selection pane="bottomLeft" activeCell="K88" sqref="K88:M8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6.42578125" style="1" customWidth="1"/>
    <col min="6" max="9" width="6.42578125" style="1" bestFit="1" customWidth="1"/>
    <col min="10" max="10" width="6.28515625" style="1" bestFit="1" customWidth="1"/>
    <col min="11" max="11" width="7.1406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2079/11/22</v>
      </c>
      <c r="C4" s="208"/>
      <c r="D4" s="208"/>
      <c r="E4" s="209" t="str">
        <f ca="1">"2079/"&amp;"11/"&amp;INT(MID(CELL("filename",G6),FIND("]",CELL("filename",G6))+1,200))</f>
        <v>2079/11/22</v>
      </c>
      <c r="F4" s="209"/>
      <c r="G4" s="209"/>
      <c r="H4" s="209" t="str">
        <f ca="1">TEXT(E4,"dddd")</f>
        <v>Wednesday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527</v>
      </c>
      <c r="C5" s="30">
        <f t="shared" si="0"/>
        <v>527</v>
      </c>
      <c r="D5" s="30">
        <f t="shared" si="0"/>
        <v>469</v>
      </c>
      <c r="E5" s="30">
        <f t="shared" si="0"/>
        <v>466</v>
      </c>
      <c r="F5" s="30">
        <f t="shared" si="0"/>
        <v>482</v>
      </c>
      <c r="G5" s="30">
        <f t="shared" si="0"/>
        <v>520</v>
      </c>
      <c r="H5" s="30">
        <f t="shared" si="0"/>
        <v>520</v>
      </c>
      <c r="I5" s="30">
        <f t="shared" si="0"/>
        <v>502</v>
      </c>
      <c r="J5" s="30">
        <f t="shared" si="0"/>
        <v>494</v>
      </c>
      <c r="K5" s="30">
        <f t="shared" si="0"/>
        <v>418</v>
      </c>
      <c r="L5" s="30">
        <f t="shared" si="0"/>
        <v>427.1</v>
      </c>
      <c r="M5" s="30">
        <f t="shared" si="0"/>
        <v>215</v>
      </c>
      <c r="N5" s="30">
        <f t="shared" si="0"/>
        <v>231.8</v>
      </c>
      <c r="O5" s="30">
        <f t="shared" si="0"/>
        <v>218.9</v>
      </c>
      <c r="P5" s="30">
        <f t="shared" si="0"/>
        <v>214.10000000000002</v>
      </c>
      <c r="Q5" s="30">
        <f t="shared" si="0"/>
        <v>214.10000000000002</v>
      </c>
      <c r="R5" s="30">
        <f t="shared" si="0"/>
        <v>233.2</v>
      </c>
      <c r="S5" s="30">
        <f t="shared" si="0"/>
        <v>202.2</v>
      </c>
      <c r="T5" s="30">
        <f t="shared" si="0"/>
        <v>196.5</v>
      </c>
      <c r="U5" s="30">
        <f t="shared" si="0"/>
        <v>196.5</v>
      </c>
      <c r="V5" s="30">
        <f t="shared" si="0"/>
        <v>214</v>
      </c>
      <c r="W5" s="30">
        <f t="shared" si="0"/>
        <v>205.4</v>
      </c>
      <c r="X5" s="30">
        <f t="shared" si="0"/>
        <v>247</v>
      </c>
      <c r="Y5" s="30">
        <f t="shared" si="0"/>
        <v>236</v>
      </c>
      <c r="Z5" s="30">
        <f t="shared" si="0"/>
        <v>475.1</v>
      </c>
      <c r="AA5" s="30">
        <f t="shared" si="0"/>
        <v>471.3</v>
      </c>
      <c r="AB5" s="30">
        <f t="shared" si="0"/>
        <v>478.3</v>
      </c>
      <c r="AC5" s="30">
        <f t="shared" si="0"/>
        <v>440</v>
      </c>
      <c r="AD5" s="30">
        <f t="shared" si="0"/>
        <v>426.4</v>
      </c>
      <c r="AE5" s="30">
        <f t="shared" si="0"/>
        <v>382.90000000000003</v>
      </c>
      <c r="AF5" s="30">
        <f>B82</f>
        <v>527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1289MW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Load=949</v>
      </c>
      <c r="B7" s="35">
        <f t="shared" ref="B7:AF7" si="1">B89</f>
        <v>1054.74</v>
      </c>
      <c r="C7" s="35">
        <f t="shared" si="1"/>
        <v>1074.74</v>
      </c>
      <c r="D7" s="35">
        <f t="shared" si="1"/>
        <v>1064.74</v>
      </c>
      <c r="E7" s="35">
        <f t="shared" si="1"/>
        <v>990.34</v>
      </c>
      <c r="F7" s="35">
        <f t="shared" si="1"/>
        <v>977.33999999999992</v>
      </c>
      <c r="G7" s="35">
        <f t="shared" si="1"/>
        <v>1003.34</v>
      </c>
      <c r="H7" s="35">
        <f t="shared" si="1"/>
        <v>1051.3399999999999</v>
      </c>
      <c r="I7" s="35">
        <f t="shared" si="1"/>
        <v>1091.3399999999999</v>
      </c>
      <c r="J7" s="35">
        <f t="shared" si="1"/>
        <v>1142.3399999999999</v>
      </c>
      <c r="K7" s="35">
        <f t="shared" si="1"/>
        <v>1278.3399999999999</v>
      </c>
      <c r="L7" s="35">
        <f t="shared" si="1"/>
        <v>1262.3399999999999</v>
      </c>
      <c r="M7" s="35">
        <f t="shared" si="1"/>
        <v>1288.74</v>
      </c>
      <c r="N7" s="35">
        <f>N89</f>
        <v>1232.3399999999999</v>
      </c>
      <c r="O7" s="35">
        <f t="shared" si="1"/>
        <v>1126.24</v>
      </c>
      <c r="P7" s="35">
        <f t="shared" si="1"/>
        <v>1094.6400000000001</v>
      </c>
      <c r="Q7" s="35">
        <f t="shared" si="1"/>
        <v>1059.04</v>
      </c>
      <c r="R7" s="35">
        <f t="shared" si="1"/>
        <v>1059.04</v>
      </c>
      <c r="S7" s="35">
        <f t="shared" si="1"/>
        <v>1121.04</v>
      </c>
      <c r="T7" s="35">
        <f t="shared" si="1"/>
        <v>1105.54</v>
      </c>
      <c r="U7" s="35">
        <f t="shared" si="1"/>
        <v>1119.1399999999999</v>
      </c>
      <c r="V7" s="35">
        <f t="shared" si="1"/>
        <v>1122.1399999999999</v>
      </c>
      <c r="W7" s="35">
        <f t="shared" si="1"/>
        <v>1188.54</v>
      </c>
      <c r="X7" s="35">
        <f t="shared" si="1"/>
        <v>1249.94</v>
      </c>
      <c r="Y7" s="35">
        <f t="shared" si="1"/>
        <v>1368.94</v>
      </c>
      <c r="Z7" s="35">
        <f t="shared" si="1"/>
        <v>1357.94</v>
      </c>
      <c r="AA7" s="35">
        <f t="shared" si="1"/>
        <v>1346.94</v>
      </c>
      <c r="AB7" s="35">
        <f t="shared" si="1"/>
        <v>1251.24</v>
      </c>
      <c r="AC7" s="35">
        <f t="shared" si="1"/>
        <v>1187.24</v>
      </c>
      <c r="AD7" s="35">
        <f t="shared" si="1"/>
        <v>1151.1399999999999</v>
      </c>
      <c r="AE7" s="35">
        <f t="shared" si="1"/>
        <v>1032.1399999999999</v>
      </c>
      <c r="AF7" s="35">
        <f t="shared" si="1"/>
        <v>948.6400000000001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25.2</v>
      </c>
      <c r="AD11" s="45">
        <v>25.2</v>
      </c>
      <c r="AE11" s="45">
        <v>25.2</v>
      </c>
      <c r="AF11" s="45">
        <v>25.2</v>
      </c>
      <c r="AG11" s="46">
        <v>86</v>
      </c>
      <c r="AH11" s="47">
        <f t="shared" ref="AH11:AH74" si="2">MAX(B11:AF11)</f>
        <v>25.2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13.1</v>
      </c>
      <c r="C12" s="45">
        <v>13.1</v>
      </c>
      <c r="D12" s="45">
        <v>13.1</v>
      </c>
      <c r="E12" s="45">
        <v>13.1</v>
      </c>
      <c r="F12" s="45">
        <v>13.1</v>
      </c>
      <c r="G12" s="45">
        <v>13.1</v>
      </c>
      <c r="H12" s="45">
        <v>13.1</v>
      </c>
      <c r="I12" s="45">
        <v>13.1</v>
      </c>
      <c r="J12" s="45">
        <v>13.1</v>
      </c>
      <c r="K12" s="45">
        <v>13.1</v>
      </c>
      <c r="L12" s="45">
        <v>13.1</v>
      </c>
      <c r="M12" s="45">
        <v>13.1</v>
      </c>
      <c r="N12" s="45">
        <v>13.1</v>
      </c>
      <c r="O12" s="45">
        <v>13.1</v>
      </c>
      <c r="P12" s="45">
        <v>13.1</v>
      </c>
      <c r="Q12" s="45">
        <v>13.1</v>
      </c>
      <c r="R12" s="45">
        <v>13.1</v>
      </c>
      <c r="S12" s="45">
        <v>13.1</v>
      </c>
      <c r="T12" s="45">
        <v>13.1</v>
      </c>
      <c r="U12" s="45">
        <v>13.1</v>
      </c>
      <c r="V12" s="45">
        <v>13.1</v>
      </c>
      <c r="W12" s="45">
        <v>13.1</v>
      </c>
      <c r="X12" s="45">
        <v>13.1</v>
      </c>
      <c r="Y12" s="45">
        <v>13.1</v>
      </c>
      <c r="Z12" s="45">
        <v>13.1</v>
      </c>
      <c r="AA12" s="45">
        <v>13.1</v>
      </c>
      <c r="AB12" s="45">
        <v>13.2</v>
      </c>
      <c r="AC12" s="45">
        <v>14.8</v>
      </c>
      <c r="AD12" s="45">
        <v>14.8</v>
      </c>
      <c r="AE12" s="45">
        <v>14</v>
      </c>
      <c r="AF12" s="45">
        <v>14.3</v>
      </c>
      <c r="AG12" s="46">
        <v>52.4</v>
      </c>
      <c r="AH12" s="47">
        <f t="shared" si="2"/>
        <v>14.8</v>
      </c>
      <c r="AI12" s="48">
        <f t="shared" si="3"/>
        <v>13.1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31.7</v>
      </c>
      <c r="C13" s="45">
        <v>31.7</v>
      </c>
      <c r="D13" s="45">
        <v>31.7</v>
      </c>
      <c r="E13" s="45">
        <v>25.5</v>
      </c>
      <c r="F13" s="45">
        <v>25.5</v>
      </c>
      <c r="G13" s="45">
        <v>25.5</v>
      </c>
      <c r="H13" s="45">
        <v>25.5</v>
      </c>
      <c r="I13" s="45">
        <v>25.5</v>
      </c>
      <c r="J13" s="45">
        <v>25.5</v>
      </c>
      <c r="K13" s="45">
        <v>25.5</v>
      </c>
      <c r="L13" s="45">
        <v>25.5</v>
      </c>
      <c r="M13" s="45">
        <v>25.5</v>
      </c>
      <c r="N13" s="45">
        <v>25.5</v>
      </c>
      <c r="O13" s="45">
        <v>25.5</v>
      </c>
      <c r="P13" s="45">
        <v>25.5</v>
      </c>
      <c r="Q13" s="45">
        <v>25.5</v>
      </c>
      <c r="R13" s="45">
        <v>25.5</v>
      </c>
      <c r="S13" s="45">
        <v>25.5</v>
      </c>
      <c r="T13" s="45">
        <v>25.5</v>
      </c>
      <c r="U13" s="45">
        <v>25.5</v>
      </c>
      <c r="V13" s="45">
        <v>25.5</v>
      </c>
      <c r="W13" s="45">
        <v>25.5</v>
      </c>
      <c r="X13" s="45">
        <v>25.5</v>
      </c>
      <c r="Y13" s="45">
        <v>25.5</v>
      </c>
      <c r="Z13" s="45">
        <v>25.5</v>
      </c>
      <c r="AA13" s="45">
        <v>25.5</v>
      </c>
      <c r="AB13" s="45">
        <v>25.3</v>
      </c>
      <c r="AC13" s="45">
        <v>25.3</v>
      </c>
      <c r="AD13" s="45">
        <v>25.3</v>
      </c>
      <c r="AE13" s="45">
        <v>25.3</v>
      </c>
      <c r="AF13" s="45">
        <v>25.3</v>
      </c>
      <c r="AG13" s="50">
        <v>50</v>
      </c>
      <c r="AH13" s="47">
        <f t="shared" si="2"/>
        <v>31.7</v>
      </c>
      <c r="AI13" s="48">
        <f t="shared" si="3"/>
        <v>25.3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16.2</v>
      </c>
      <c r="C14" s="45">
        <v>16.2</v>
      </c>
      <c r="D14" s="45">
        <v>16.2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17.899999999999999</v>
      </c>
      <c r="AE14" s="45">
        <v>15.4</v>
      </c>
      <c r="AF14" s="45">
        <v>15.5</v>
      </c>
      <c r="AG14" s="50">
        <v>45</v>
      </c>
      <c r="AH14" s="47">
        <f t="shared" si="2"/>
        <v>17.899999999999999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12.6</v>
      </c>
      <c r="C17" s="45">
        <v>12.6</v>
      </c>
      <c r="D17" s="45">
        <v>12.6</v>
      </c>
      <c r="E17" s="45">
        <v>12.6</v>
      </c>
      <c r="F17" s="45">
        <v>12.6</v>
      </c>
      <c r="G17" s="45">
        <v>12.6</v>
      </c>
      <c r="H17" s="45">
        <v>12.6</v>
      </c>
      <c r="I17" s="45">
        <v>12.6</v>
      </c>
      <c r="J17" s="45">
        <v>12.6</v>
      </c>
      <c r="K17" s="45">
        <v>12.6</v>
      </c>
      <c r="L17" s="45">
        <v>12.6</v>
      </c>
      <c r="M17" s="45">
        <v>12.6</v>
      </c>
      <c r="N17" s="45">
        <v>12.6</v>
      </c>
      <c r="O17" s="45">
        <v>12.6</v>
      </c>
      <c r="P17" s="45">
        <v>12.6</v>
      </c>
      <c r="Q17" s="45">
        <v>12.6</v>
      </c>
      <c r="R17" s="45">
        <v>12.6</v>
      </c>
      <c r="S17" s="45">
        <v>12.6</v>
      </c>
      <c r="T17" s="45">
        <v>12.6</v>
      </c>
      <c r="U17" s="45">
        <v>12.6</v>
      </c>
      <c r="V17" s="45">
        <v>12.6</v>
      </c>
      <c r="W17" s="45">
        <v>12.6</v>
      </c>
      <c r="X17" s="45">
        <v>12.6</v>
      </c>
      <c r="Y17" s="45">
        <v>12.6</v>
      </c>
      <c r="Z17" s="45">
        <v>12.6</v>
      </c>
      <c r="AA17" s="45">
        <v>12.6</v>
      </c>
      <c r="AB17" s="45">
        <v>12.6</v>
      </c>
      <c r="AC17" s="45">
        <v>12.6</v>
      </c>
      <c r="AD17" s="45">
        <v>12.6</v>
      </c>
      <c r="AE17" s="45">
        <v>12.6</v>
      </c>
      <c r="AF17" s="45">
        <v>12.6</v>
      </c>
      <c r="AG17" s="50">
        <v>36</v>
      </c>
      <c r="AH17" s="47">
        <f t="shared" si="2"/>
        <v>12.6</v>
      </c>
      <c r="AI17" s="48">
        <f t="shared" si="3"/>
        <v>12.6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8.3000000000000007</v>
      </c>
      <c r="C18" s="45">
        <v>8.3000000000000007</v>
      </c>
      <c r="D18" s="45">
        <v>8.3000000000000007</v>
      </c>
      <c r="E18" s="45">
        <v>8.3000000000000007</v>
      </c>
      <c r="F18" s="45">
        <v>8.3000000000000007</v>
      </c>
      <c r="G18" s="45">
        <v>8.3000000000000007</v>
      </c>
      <c r="H18" s="45">
        <v>8.3000000000000007</v>
      </c>
      <c r="I18" s="45">
        <v>8.3000000000000007</v>
      </c>
      <c r="J18" s="45">
        <v>8.3000000000000007</v>
      </c>
      <c r="K18" s="45">
        <v>8.3000000000000007</v>
      </c>
      <c r="L18" s="45">
        <v>8.3000000000000007</v>
      </c>
      <c r="M18" s="45">
        <v>8.3000000000000007</v>
      </c>
      <c r="N18" s="45">
        <v>8.3000000000000007</v>
      </c>
      <c r="O18" s="45">
        <v>8.3000000000000007</v>
      </c>
      <c r="P18" s="45">
        <v>8.3000000000000007</v>
      </c>
      <c r="Q18" s="45">
        <v>8.3000000000000007</v>
      </c>
      <c r="R18" s="45">
        <v>8.3000000000000007</v>
      </c>
      <c r="S18" s="45">
        <v>8.3000000000000007</v>
      </c>
      <c r="T18" s="45">
        <v>8.3000000000000007</v>
      </c>
      <c r="U18" s="45">
        <v>8.3000000000000007</v>
      </c>
      <c r="V18" s="45">
        <v>8.3000000000000007</v>
      </c>
      <c r="W18" s="45">
        <v>8.3000000000000007</v>
      </c>
      <c r="X18" s="45">
        <v>8.3000000000000007</v>
      </c>
      <c r="Y18" s="45">
        <v>8.3000000000000007</v>
      </c>
      <c r="Z18" s="45">
        <v>8.3000000000000007</v>
      </c>
      <c r="AA18" s="45">
        <v>8.3000000000000007</v>
      </c>
      <c r="AB18" s="45">
        <v>8.3000000000000007</v>
      </c>
      <c r="AC18" s="45">
        <v>8.3000000000000007</v>
      </c>
      <c r="AD18" s="45">
        <v>7.2</v>
      </c>
      <c r="AE18" s="45">
        <v>7.3</v>
      </c>
      <c r="AF18" s="45">
        <v>7.2</v>
      </c>
      <c r="AG18" s="51">
        <v>30</v>
      </c>
      <c r="AH18" s="47">
        <f t="shared" si="2"/>
        <v>8.3000000000000007</v>
      </c>
      <c r="AI18" s="48">
        <f t="shared" si="3"/>
        <v>7.2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7</v>
      </c>
      <c r="C19" s="45">
        <v>7</v>
      </c>
      <c r="D19" s="45">
        <v>7</v>
      </c>
      <c r="E19" s="45">
        <v>7</v>
      </c>
      <c r="F19" s="45">
        <v>7</v>
      </c>
      <c r="G19" s="45">
        <v>7</v>
      </c>
      <c r="H19" s="45">
        <v>7</v>
      </c>
      <c r="I19" s="45">
        <v>7</v>
      </c>
      <c r="J19" s="45">
        <v>7</v>
      </c>
      <c r="K19" s="45">
        <v>7</v>
      </c>
      <c r="L19" s="45">
        <v>7</v>
      </c>
      <c r="M19" s="45">
        <v>7</v>
      </c>
      <c r="N19" s="45">
        <v>7</v>
      </c>
      <c r="O19" s="45">
        <v>7</v>
      </c>
      <c r="P19" s="45">
        <v>7</v>
      </c>
      <c r="Q19" s="45">
        <v>7</v>
      </c>
      <c r="R19" s="45">
        <v>7</v>
      </c>
      <c r="S19" s="45">
        <v>7</v>
      </c>
      <c r="T19" s="45">
        <v>7</v>
      </c>
      <c r="U19" s="45">
        <v>7</v>
      </c>
      <c r="V19" s="45">
        <v>7</v>
      </c>
      <c r="W19" s="45">
        <v>7</v>
      </c>
      <c r="X19" s="45">
        <v>7</v>
      </c>
      <c r="Y19" s="45">
        <v>7</v>
      </c>
      <c r="Z19" s="45">
        <v>7</v>
      </c>
      <c r="AA19" s="45">
        <v>7</v>
      </c>
      <c r="AB19" s="45">
        <v>7</v>
      </c>
      <c r="AC19" s="45">
        <v>7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7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13.2</v>
      </c>
      <c r="C22" s="45">
        <v>13.2</v>
      </c>
      <c r="D22" s="45">
        <v>13.2</v>
      </c>
      <c r="E22" s="45">
        <v>13.2</v>
      </c>
      <c r="F22" s="45">
        <v>13.2</v>
      </c>
      <c r="G22" s="45">
        <v>13.2</v>
      </c>
      <c r="H22" s="45">
        <v>13.2</v>
      </c>
      <c r="I22" s="45">
        <v>13.2</v>
      </c>
      <c r="J22" s="45">
        <v>13.2</v>
      </c>
      <c r="K22" s="45">
        <v>13.2</v>
      </c>
      <c r="L22" s="45">
        <v>13.2</v>
      </c>
      <c r="M22" s="45">
        <v>13.2</v>
      </c>
      <c r="N22" s="45">
        <v>13.2</v>
      </c>
      <c r="O22" s="45">
        <v>13.2</v>
      </c>
      <c r="P22" s="45">
        <v>13.2</v>
      </c>
      <c r="Q22" s="45">
        <v>13.2</v>
      </c>
      <c r="R22" s="45">
        <v>13.2</v>
      </c>
      <c r="S22" s="45">
        <v>13.2</v>
      </c>
      <c r="T22" s="45">
        <v>13.2</v>
      </c>
      <c r="U22" s="45">
        <v>13.2</v>
      </c>
      <c r="V22" s="45">
        <v>13.2</v>
      </c>
      <c r="W22" s="45">
        <v>13.2</v>
      </c>
      <c r="X22" s="45">
        <v>13.2</v>
      </c>
      <c r="Y22" s="45">
        <v>13.2</v>
      </c>
      <c r="Z22" s="45">
        <v>13.2</v>
      </c>
      <c r="AA22" s="45">
        <v>13.2</v>
      </c>
      <c r="AB22" s="45">
        <v>13.2</v>
      </c>
      <c r="AC22" s="45">
        <v>13.2</v>
      </c>
      <c r="AD22" s="45">
        <v>13.2</v>
      </c>
      <c r="AE22" s="45">
        <v>10.8</v>
      </c>
      <c r="AF22" s="45">
        <v>9.5</v>
      </c>
      <c r="AG22" s="50">
        <v>25</v>
      </c>
      <c r="AH22" s="47">
        <f t="shared" si="2"/>
        <v>13.2</v>
      </c>
      <c r="AI22" s="48">
        <f t="shared" si="3"/>
        <v>9.5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6.2</v>
      </c>
      <c r="C26" s="45">
        <v>6.2</v>
      </c>
      <c r="D26" s="45">
        <v>6.2</v>
      </c>
      <c r="E26" s="45">
        <v>6.2</v>
      </c>
      <c r="F26" s="45">
        <v>6.2</v>
      </c>
      <c r="G26" s="45">
        <v>6.2</v>
      </c>
      <c r="H26" s="45">
        <v>6.2</v>
      </c>
      <c r="I26" s="45">
        <v>6.2</v>
      </c>
      <c r="J26" s="45">
        <v>6.2</v>
      </c>
      <c r="K26" s="45">
        <v>6.2</v>
      </c>
      <c r="L26" s="45">
        <v>6.2</v>
      </c>
      <c r="M26" s="45">
        <v>6.2</v>
      </c>
      <c r="N26" s="45">
        <v>6.2</v>
      </c>
      <c r="O26" s="45">
        <v>6.2</v>
      </c>
      <c r="P26" s="45">
        <v>6.2</v>
      </c>
      <c r="Q26" s="45">
        <v>6.2</v>
      </c>
      <c r="R26" s="45">
        <v>6.2</v>
      </c>
      <c r="S26" s="45">
        <v>6.2</v>
      </c>
      <c r="T26" s="45">
        <v>6.2</v>
      </c>
      <c r="U26" s="45">
        <v>6.2</v>
      </c>
      <c r="V26" s="45">
        <v>6.2</v>
      </c>
      <c r="W26" s="45">
        <v>6.2</v>
      </c>
      <c r="X26" s="45">
        <v>6.2</v>
      </c>
      <c r="Y26" s="45">
        <v>6.2</v>
      </c>
      <c r="Z26" s="45">
        <v>6.2</v>
      </c>
      <c r="AA26" s="45">
        <v>6.2</v>
      </c>
      <c r="AB26" s="45">
        <v>6.2</v>
      </c>
      <c r="AC26" s="45">
        <v>6.2</v>
      </c>
      <c r="AD26" s="45">
        <v>6.3</v>
      </c>
      <c r="AE26" s="45">
        <v>6.3</v>
      </c>
      <c r="AF26" s="45">
        <v>6.4</v>
      </c>
      <c r="AG26" s="50">
        <v>23.5</v>
      </c>
      <c r="AH26" s="47">
        <f t="shared" si="2"/>
        <v>6.4</v>
      </c>
      <c r="AI26" s="48">
        <f t="shared" si="3"/>
        <v>6.2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368.29999999999995</v>
      </c>
      <c r="C48" s="60">
        <f t="shared" ref="C48:E48" si="5">SUM(C12:C46)</f>
        <v>368.29999999999995</v>
      </c>
      <c r="D48" s="60">
        <f t="shared" si="5"/>
        <v>368.29999999999995</v>
      </c>
      <c r="E48" s="60">
        <f t="shared" si="5"/>
        <v>361.9</v>
      </c>
      <c r="F48" s="60">
        <f t="shared" ref="F48:G48" si="6">SUM(F12:F46)</f>
        <v>361.9</v>
      </c>
      <c r="G48" s="60">
        <f t="shared" si="6"/>
        <v>361.9</v>
      </c>
      <c r="H48" s="60">
        <f t="shared" ref="H48:L48" si="7">SUM(H12:H46)</f>
        <v>361.9</v>
      </c>
      <c r="I48" s="60">
        <f t="shared" si="7"/>
        <v>361.9</v>
      </c>
      <c r="J48" s="60">
        <f t="shared" si="7"/>
        <v>361.9</v>
      </c>
      <c r="K48" s="60">
        <f t="shared" si="7"/>
        <v>361.9</v>
      </c>
      <c r="L48" s="60">
        <f t="shared" si="7"/>
        <v>361.9</v>
      </c>
      <c r="M48" s="60">
        <f t="shared" si="4"/>
        <v>361.9</v>
      </c>
      <c r="N48" s="60">
        <f t="shared" si="4"/>
        <v>361.9</v>
      </c>
      <c r="O48" s="60">
        <f t="shared" si="4"/>
        <v>361.9</v>
      </c>
      <c r="P48" s="60">
        <f t="shared" si="4"/>
        <v>361.9</v>
      </c>
      <c r="Q48" s="60">
        <f t="shared" si="4"/>
        <v>361.9</v>
      </c>
      <c r="R48" s="60">
        <f t="shared" si="4"/>
        <v>361.9</v>
      </c>
      <c r="S48" s="60">
        <f t="shared" si="4"/>
        <v>361.9</v>
      </c>
      <c r="T48" s="60">
        <f t="shared" si="4"/>
        <v>361.9</v>
      </c>
      <c r="U48" s="60">
        <f t="shared" si="4"/>
        <v>361.9</v>
      </c>
      <c r="V48" s="60">
        <f t="shared" si="4"/>
        <v>361.9</v>
      </c>
      <c r="W48" s="60">
        <f t="shared" si="4"/>
        <v>361.9</v>
      </c>
      <c r="X48" s="60">
        <f t="shared" si="4"/>
        <v>361.9</v>
      </c>
      <c r="Y48" s="60">
        <f t="shared" si="4"/>
        <v>361.9</v>
      </c>
      <c r="Z48" s="60">
        <f t="shared" si="4"/>
        <v>361.9</v>
      </c>
      <c r="AA48" s="60">
        <f t="shared" si="4"/>
        <v>361.9</v>
      </c>
      <c r="AB48" s="60">
        <f t="shared" si="4"/>
        <v>361.79999999999995</v>
      </c>
      <c r="AC48" s="60">
        <f t="shared" si="4"/>
        <v>363.4</v>
      </c>
      <c r="AD48" s="60">
        <f t="shared" ref="AD48" si="8">SUM(AD12:AD46)</f>
        <v>365.9</v>
      </c>
      <c r="AE48" s="60">
        <f t="shared" si="4"/>
        <v>360.29999999999995</v>
      </c>
      <c r="AF48" s="60">
        <f t="shared" si="4"/>
        <v>359.4</v>
      </c>
      <c r="AG48" s="61">
        <f t="shared" si="4"/>
        <v>875.68</v>
      </c>
      <c r="AH48" s="47">
        <f t="shared" si="2"/>
        <v>368.29999999999995</v>
      </c>
      <c r="AI48" s="48">
        <f t="shared" si="3"/>
        <v>359.4</v>
      </c>
      <c r="AK48" s="49"/>
    </row>
    <row r="49" spans="1:41" x14ac:dyDescent="0.25">
      <c r="A49" s="62" t="s">
        <v>53</v>
      </c>
      <c r="B49" s="45">
        <v>40</v>
      </c>
      <c r="C49" s="45">
        <v>60</v>
      </c>
      <c r="D49" s="45">
        <v>50</v>
      </c>
      <c r="E49" s="45">
        <v>40</v>
      </c>
      <c r="F49" s="45">
        <v>30</v>
      </c>
      <c r="G49" s="45">
        <v>40</v>
      </c>
      <c r="H49" s="45">
        <v>20</v>
      </c>
      <c r="I49" s="45">
        <v>60</v>
      </c>
      <c r="J49" s="45">
        <v>76</v>
      </c>
      <c r="K49" s="45">
        <v>90</v>
      </c>
      <c r="L49" s="45">
        <v>150</v>
      </c>
      <c r="M49" s="63">
        <v>130</v>
      </c>
      <c r="N49" s="63">
        <v>270</v>
      </c>
      <c r="O49" s="45">
        <v>200</v>
      </c>
      <c r="P49" s="45">
        <v>200</v>
      </c>
      <c r="Q49" s="45">
        <v>200</v>
      </c>
      <c r="R49" s="45">
        <v>200</v>
      </c>
      <c r="S49" s="45">
        <v>160</v>
      </c>
      <c r="T49" s="45">
        <v>165</v>
      </c>
      <c r="U49" s="45">
        <v>160</v>
      </c>
      <c r="V49" s="45">
        <v>150</v>
      </c>
      <c r="W49" s="45">
        <v>110</v>
      </c>
      <c r="X49" s="45">
        <v>90</v>
      </c>
      <c r="Y49" s="45">
        <v>150</v>
      </c>
      <c r="Z49" s="45">
        <v>150</v>
      </c>
      <c r="AA49" s="45">
        <v>15</v>
      </c>
      <c r="AB49" s="45">
        <v>50</v>
      </c>
      <c r="AC49" s="45">
        <v>50</v>
      </c>
      <c r="AD49" s="45">
        <v>50</v>
      </c>
      <c r="AE49" s="45">
        <v>0</v>
      </c>
      <c r="AF49" s="45">
        <v>0</v>
      </c>
      <c r="AG49" s="51">
        <v>456</v>
      </c>
      <c r="AH49" s="47">
        <f t="shared" si="2"/>
        <v>270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10.5</v>
      </c>
      <c r="C51" s="67">
        <v>10.5</v>
      </c>
      <c r="D51" s="67">
        <v>10.5</v>
      </c>
      <c r="E51" s="67">
        <v>10.5</v>
      </c>
      <c r="F51" s="67">
        <v>10.5</v>
      </c>
      <c r="G51" s="67">
        <v>10.5</v>
      </c>
      <c r="H51" s="67">
        <v>10.5</v>
      </c>
      <c r="I51" s="67">
        <v>10.5</v>
      </c>
      <c r="J51" s="67">
        <v>10.5</v>
      </c>
      <c r="K51" s="67">
        <v>10.5</v>
      </c>
      <c r="L51" s="67">
        <v>10.5</v>
      </c>
      <c r="M51" s="67">
        <v>10.5</v>
      </c>
      <c r="N51" s="67">
        <v>10.5</v>
      </c>
      <c r="O51" s="67">
        <v>10.5</v>
      </c>
      <c r="P51" s="67">
        <v>10.5</v>
      </c>
      <c r="Q51" s="67">
        <v>10.5</v>
      </c>
      <c r="R51" s="67">
        <v>10.5</v>
      </c>
      <c r="S51" s="67">
        <v>10.5</v>
      </c>
      <c r="T51" s="67">
        <v>10.5</v>
      </c>
      <c r="U51" s="67">
        <v>10.5</v>
      </c>
      <c r="V51" s="67">
        <v>10.5</v>
      </c>
      <c r="W51" s="67">
        <v>10.5</v>
      </c>
      <c r="X51" s="67">
        <v>10.5</v>
      </c>
      <c r="Y51" s="67">
        <v>10.5</v>
      </c>
      <c r="Z51" s="67">
        <v>10.5</v>
      </c>
      <c r="AA51" s="67">
        <v>10.5</v>
      </c>
      <c r="AB51" s="67">
        <v>10.6</v>
      </c>
      <c r="AC51" s="67">
        <v>10.6</v>
      </c>
      <c r="AD51" s="67">
        <v>10.5</v>
      </c>
      <c r="AE51" s="67">
        <v>10.5</v>
      </c>
      <c r="AF51" s="67">
        <v>10.5</v>
      </c>
      <c r="AG51" s="68">
        <v>22.1</v>
      </c>
      <c r="AH51" s="47">
        <f t="shared" si="2"/>
        <v>10.6</v>
      </c>
      <c r="AI51" s="48">
        <f t="shared" si="3"/>
        <v>10.5</v>
      </c>
      <c r="AK51" s="49"/>
    </row>
    <row r="52" spans="1:41" ht="15.75" thickBot="1" x14ac:dyDescent="0.3">
      <c r="A52" s="69" t="s">
        <v>56</v>
      </c>
      <c r="B52" s="60">
        <f t="shared" ref="B52:AG52" si="9">SUM(B49:B51)</f>
        <v>77.5</v>
      </c>
      <c r="C52" s="60">
        <f t="shared" ref="C52:E52" si="10">SUM(C49:C51)</f>
        <v>97.5</v>
      </c>
      <c r="D52" s="60">
        <f t="shared" si="10"/>
        <v>87.5</v>
      </c>
      <c r="E52" s="60">
        <f t="shared" si="10"/>
        <v>77.5</v>
      </c>
      <c r="F52" s="60">
        <f t="shared" ref="F52:G52" si="11">SUM(F49:F51)</f>
        <v>67.5</v>
      </c>
      <c r="G52" s="60">
        <f t="shared" si="11"/>
        <v>77.5</v>
      </c>
      <c r="H52" s="60">
        <f t="shared" ref="H52:L52" si="12">SUM(H49:H51)</f>
        <v>57.5</v>
      </c>
      <c r="I52" s="60">
        <f t="shared" si="12"/>
        <v>97.5</v>
      </c>
      <c r="J52" s="60">
        <f t="shared" si="12"/>
        <v>113.5</v>
      </c>
      <c r="K52" s="60">
        <f t="shared" si="12"/>
        <v>127.5</v>
      </c>
      <c r="L52" s="60">
        <f t="shared" si="12"/>
        <v>187.5</v>
      </c>
      <c r="M52" s="60">
        <f t="shared" si="9"/>
        <v>167.5</v>
      </c>
      <c r="N52" s="60">
        <f t="shared" si="9"/>
        <v>307.5</v>
      </c>
      <c r="O52" s="60">
        <f t="shared" si="9"/>
        <v>237.5</v>
      </c>
      <c r="P52" s="60">
        <f t="shared" si="9"/>
        <v>237.5</v>
      </c>
      <c r="Q52" s="60">
        <f t="shared" si="9"/>
        <v>237.5</v>
      </c>
      <c r="R52" s="60">
        <f t="shared" si="9"/>
        <v>237.5</v>
      </c>
      <c r="S52" s="60">
        <f t="shared" si="9"/>
        <v>197.5</v>
      </c>
      <c r="T52" s="60">
        <f t="shared" si="9"/>
        <v>202.5</v>
      </c>
      <c r="U52" s="60">
        <f t="shared" si="9"/>
        <v>197.5</v>
      </c>
      <c r="V52" s="60">
        <f t="shared" si="9"/>
        <v>187.5</v>
      </c>
      <c r="W52" s="60">
        <f t="shared" si="9"/>
        <v>147.5</v>
      </c>
      <c r="X52" s="60">
        <f t="shared" si="9"/>
        <v>127.5</v>
      </c>
      <c r="Y52" s="60">
        <f t="shared" si="9"/>
        <v>187.5</v>
      </c>
      <c r="Z52" s="60">
        <f t="shared" si="9"/>
        <v>187.5</v>
      </c>
      <c r="AA52" s="60">
        <f t="shared" si="9"/>
        <v>52.5</v>
      </c>
      <c r="AB52" s="60">
        <f t="shared" si="9"/>
        <v>87.6</v>
      </c>
      <c r="AC52" s="60">
        <f t="shared" si="9"/>
        <v>87.6</v>
      </c>
      <c r="AD52" s="60">
        <f t="shared" ref="AD52" si="13">SUM(AD49:AD51)</f>
        <v>87.5</v>
      </c>
      <c r="AE52" s="60">
        <f t="shared" si="9"/>
        <v>37.5</v>
      </c>
      <c r="AF52" s="60">
        <f t="shared" si="9"/>
        <v>37.5</v>
      </c>
      <c r="AG52" s="61">
        <f t="shared" si="9"/>
        <v>538.1</v>
      </c>
      <c r="AH52" s="47">
        <f t="shared" si="2"/>
        <v>307.5</v>
      </c>
      <c r="AI52" s="48">
        <f t="shared" si="3"/>
        <v>37.5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30</v>
      </c>
      <c r="I53" s="45">
        <v>30</v>
      </c>
      <c r="J53" s="45">
        <v>60</v>
      </c>
      <c r="K53" s="45">
        <v>90</v>
      </c>
      <c r="L53" s="45">
        <v>113</v>
      </c>
      <c r="M53" s="45">
        <v>113.4</v>
      </c>
      <c r="N53" s="45">
        <v>142.30000000000001</v>
      </c>
      <c r="O53" s="45">
        <v>45.6</v>
      </c>
      <c r="P53" s="45">
        <v>39.6</v>
      </c>
      <c r="Q53" s="45">
        <v>35.4</v>
      </c>
      <c r="R53" s="45">
        <v>35.4</v>
      </c>
      <c r="S53" s="45">
        <v>30</v>
      </c>
      <c r="T53" s="45">
        <v>35</v>
      </c>
      <c r="U53" s="45">
        <v>35</v>
      </c>
      <c r="V53" s="45">
        <v>35</v>
      </c>
      <c r="W53" s="45">
        <v>40</v>
      </c>
      <c r="X53" s="45">
        <v>130</v>
      </c>
      <c r="Y53" s="45">
        <v>143</v>
      </c>
      <c r="Z53" s="45">
        <v>143</v>
      </c>
      <c r="AA53" s="45">
        <v>143</v>
      </c>
      <c r="AB53" s="45">
        <v>142.30000000000001</v>
      </c>
      <c r="AC53" s="45">
        <v>142.6</v>
      </c>
      <c r="AD53" s="45">
        <v>142.30000000000001</v>
      </c>
      <c r="AE53" s="45">
        <v>129.4</v>
      </c>
      <c r="AF53" s="45">
        <v>90</v>
      </c>
      <c r="AG53" s="51">
        <v>144</v>
      </c>
      <c r="AH53" s="47">
        <f t="shared" si="2"/>
        <v>143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23</v>
      </c>
      <c r="K55" s="65">
        <v>23</v>
      </c>
      <c r="L55" s="65">
        <v>0</v>
      </c>
      <c r="M55" s="65">
        <v>23.8</v>
      </c>
      <c r="N55" s="65">
        <v>63</v>
      </c>
      <c r="O55" s="65">
        <v>67.3</v>
      </c>
      <c r="P55" s="65">
        <v>54.6</v>
      </c>
      <c r="Q55" s="65">
        <v>47.7</v>
      </c>
      <c r="R55" s="65">
        <v>47.7</v>
      </c>
      <c r="S55" s="65">
        <v>47.7</v>
      </c>
      <c r="T55" s="65">
        <v>47.7</v>
      </c>
      <c r="U55" s="65">
        <v>47.7</v>
      </c>
      <c r="V55" s="65">
        <v>47.7</v>
      </c>
      <c r="W55" s="65">
        <v>69</v>
      </c>
      <c r="X55" s="65">
        <v>69</v>
      </c>
      <c r="Y55" s="45">
        <v>69</v>
      </c>
      <c r="Z55" s="45">
        <v>69</v>
      </c>
      <c r="AA55" s="45">
        <v>69</v>
      </c>
      <c r="AB55" s="65">
        <v>34</v>
      </c>
      <c r="AC55" s="65">
        <v>34</v>
      </c>
      <c r="AD55" s="65">
        <v>36.6</v>
      </c>
      <c r="AE55" s="65">
        <v>0</v>
      </c>
      <c r="AF55" s="65">
        <v>0</v>
      </c>
      <c r="AG55" s="54">
        <v>69</v>
      </c>
      <c r="AH55" s="47">
        <f t="shared" si="2"/>
        <v>69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40.1</v>
      </c>
      <c r="C56" s="65">
        <v>40.1</v>
      </c>
      <c r="D56" s="65">
        <v>40.1</v>
      </c>
      <c r="E56" s="65">
        <v>40.1</v>
      </c>
      <c r="F56" s="65">
        <v>40.1</v>
      </c>
      <c r="G56" s="65">
        <v>40.1</v>
      </c>
      <c r="H56" s="65">
        <v>40.1</v>
      </c>
      <c r="I56" s="65">
        <v>40.1</v>
      </c>
      <c r="J56" s="65">
        <v>40.1</v>
      </c>
      <c r="K56" s="65">
        <v>40.1</v>
      </c>
      <c r="L56" s="65">
        <v>40.1</v>
      </c>
      <c r="M56" s="65">
        <v>40.299999999999997</v>
      </c>
      <c r="N56" s="65">
        <v>40.299999999999997</v>
      </c>
      <c r="O56" s="65">
        <v>38.299999999999997</v>
      </c>
      <c r="P56" s="65">
        <v>38.299999999999997</v>
      </c>
      <c r="Q56" s="65">
        <v>38.299999999999997</v>
      </c>
      <c r="R56" s="65">
        <v>38.299999999999997</v>
      </c>
      <c r="S56" s="65">
        <v>38.299999999999997</v>
      </c>
      <c r="T56" s="65">
        <v>40.799999999999997</v>
      </c>
      <c r="U56" s="65">
        <v>40.799999999999997</v>
      </c>
      <c r="V56" s="65">
        <v>40.799999999999997</v>
      </c>
      <c r="W56" s="65">
        <v>40.799999999999997</v>
      </c>
      <c r="X56" s="65">
        <v>40.799999999999997</v>
      </c>
      <c r="Y56" s="65">
        <v>40.799999999999997</v>
      </c>
      <c r="Z56" s="65">
        <v>40.799999999999997</v>
      </c>
      <c r="AA56" s="65">
        <v>40.799999999999997</v>
      </c>
      <c r="AB56" s="65">
        <v>40.799999999999997</v>
      </c>
      <c r="AC56" s="65">
        <v>40.799999999999997</v>
      </c>
      <c r="AD56" s="65">
        <v>38.299999999999997</v>
      </c>
      <c r="AE56" s="65">
        <v>38</v>
      </c>
      <c r="AF56" s="65">
        <v>38.299999999999997</v>
      </c>
      <c r="AG56" s="54">
        <v>60</v>
      </c>
      <c r="AH56" s="47">
        <f t="shared" si="2"/>
        <v>40.799999999999997</v>
      </c>
      <c r="AI56" s="48">
        <f t="shared" si="3"/>
        <v>38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12.9</v>
      </c>
      <c r="N57" s="65">
        <v>14.7</v>
      </c>
      <c r="O57" s="65">
        <v>30</v>
      </c>
      <c r="P57" s="65">
        <v>30</v>
      </c>
      <c r="Q57" s="65">
        <v>10.3</v>
      </c>
      <c r="R57" s="65">
        <v>10.3</v>
      </c>
      <c r="S57" s="65">
        <v>0</v>
      </c>
      <c r="T57" s="65">
        <v>0</v>
      </c>
      <c r="U57" s="65">
        <v>0</v>
      </c>
      <c r="V57" s="65">
        <v>13</v>
      </c>
      <c r="W57" s="65">
        <v>25.6</v>
      </c>
      <c r="X57" s="65">
        <v>25.6</v>
      </c>
      <c r="Y57" s="65">
        <v>30</v>
      </c>
      <c r="Z57" s="65">
        <v>30</v>
      </c>
      <c r="AA57" s="65">
        <v>15</v>
      </c>
      <c r="AB57" s="65">
        <v>0</v>
      </c>
      <c r="AC57" s="65">
        <v>0</v>
      </c>
      <c r="AD57" s="65">
        <v>0</v>
      </c>
      <c r="AE57" s="65">
        <v>0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14</v>
      </c>
      <c r="C59" s="65">
        <v>14</v>
      </c>
      <c r="D59" s="65">
        <v>14</v>
      </c>
      <c r="E59" s="65">
        <v>14</v>
      </c>
      <c r="F59" s="65">
        <v>14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14</v>
      </c>
      <c r="Q59" s="65">
        <v>14</v>
      </c>
      <c r="R59" s="65">
        <v>14</v>
      </c>
      <c r="S59" s="65">
        <v>14</v>
      </c>
      <c r="T59" s="65">
        <v>14</v>
      </c>
      <c r="U59" s="65">
        <v>14</v>
      </c>
      <c r="V59" s="65">
        <v>14</v>
      </c>
      <c r="W59" s="65">
        <v>14</v>
      </c>
      <c r="X59" s="65">
        <v>14</v>
      </c>
      <c r="Y59" s="65">
        <v>14</v>
      </c>
      <c r="Z59" s="65">
        <v>14</v>
      </c>
      <c r="AA59" s="65">
        <v>14</v>
      </c>
      <c r="AB59" s="65">
        <v>14</v>
      </c>
      <c r="AC59" s="65">
        <v>14</v>
      </c>
      <c r="AD59" s="65">
        <v>14</v>
      </c>
      <c r="AE59" s="65">
        <v>14</v>
      </c>
      <c r="AF59" s="65">
        <v>14</v>
      </c>
      <c r="AG59" s="54">
        <v>24</v>
      </c>
      <c r="AH59" s="47">
        <f t="shared" si="2"/>
        <v>14</v>
      </c>
      <c r="AI59" s="48">
        <f t="shared" si="3"/>
        <v>14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10.6</v>
      </c>
      <c r="C61" s="65">
        <v>10.6</v>
      </c>
      <c r="D61" s="65">
        <v>10.6</v>
      </c>
      <c r="E61" s="65">
        <v>10.6</v>
      </c>
      <c r="F61" s="65">
        <v>10.6</v>
      </c>
      <c r="G61" s="65">
        <v>10.6</v>
      </c>
      <c r="H61" s="65">
        <v>10.6</v>
      </c>
      <c r="I61" s="65">
        <v>10.6</v>
      </c>
      <c r="J61" s="65">
        <v>10.6</v>
      </c>
      <c r="K61" s="65">
        <v>10.6</v>
      </c>
      <c r="L61" s="65">
        <v>10.6</v>
      </c>
      <c r="M61" s="65">
        <v>10.6</v>
      </c>
      <c r="N61" s="65">
        <v>10.6</v>
      </c>
      <c r="O61" s="65">
        <v>10.6</v>
      </c>
      <c r="P61" s="65">
        <v>10.6</v>
      </c>
      <c r="Q61" s="65">
        <v>10.6</v>
      </c>
      <c r="R61" s="65">
        <v>10.6</v>
      </c>
      <c r="S61" s="65">
        <v>10.6</v>
      </c>
      <c r="T61" s="65">
        <v>10.6</v>
      </c>
      <c r="U61" s="65">
        <v>10.6</v>
      </c>
      <c r="V61" s="65">
        <v>10.6</v>
      </c>
      <c r="W61" s="65">
        <v>10.6</v>
      </c>
      <c r="X61" s="65">
        <v>10.6</v>
      </c>
      <c r="Y61" s="65">
        <v>10.6</v>
      </c>
      <c r="Z61" s="65">
        <v>10.6</v>
      </c>
      <c r="AA61" s="65">
        <v>10.6</v>
      </c>
      <c r="AB61" s="65">
        <v>10.6</v>
      </c>
      <c r="AC61" s="65">
        <v>10.6</v>
      </c>
      <c r="AD61" s="65">
        <v>10.6</v>
      </c>
      <c r="AE61" s="65">
        <v>10.6</v>
      </c>
      <c r="AF61" s="65">
        <v>10.6</v>
      </c>
      <c r="AG61" s="54">
        <v>14.1</v>
      </c>
      <c r="AH61" s="47">
        <f t="shared" si="2"/>
        <v>10.6</v>
      </c>
      <c r="AI61" s="48">
        <f t="shared" si="3"/>
        <v>10.6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4.5</v>
      </c>
      <c r="C62" s="65">
        <v>4.5</v>
      </c>
      <c r="D62" s="65">
        <v>4.5</v>
      </c>
      <c r="E62" s="65">
        <v>4.5</v>
      </c>
      <c r="F62" s="65">
        <v>4.5</v>
      </c>
      <c r="G62" s="65">
        <v>4.5</v>
      </c>
      <c r="H62" s="65">
        <v>4.5</v>
      </c>
      <c r="I62" s="65">
        <v>4.5</v>
      </c>
      <c r="J62" s="65">
        <v>4.5</v>
      </c>
      <c r="K62" s="65">
        <v>4.5</v>
      </c>
      <c r="L62" s="65">
        <v>4.5</v>
      </c>
      <c r="M62" s="65">
        <v>4.5</v>
      </c>
      <c r="N62" s="65">
        <v>4.5</v>
      </c>
      <c r="O62" s="65">
        <v>4.5</v>
      </c>
      <c r="P62" s="65">
        <v>4.5</v>
      </c>
      <c r="Q62" s="65">
        <v>4.5</v>
      </c>
      <c r="R62" s="65">
        <v>4.5</v>
      </c>
      <c r="S62" s="65">
        <v>3.1</v>
      </c>
      <c r="T62" s="65">
        <v>3.1</v>
      </c>
      <c r="U62" s="65">
        <v>3.1</v>
      </c>
      <c r="V62" s="65">
        <v>3.1</v>
      </c>
      <c r="W62" s="65">
        <v>3.1</v>
      </c>
      <c r="X62" s="65">
        <v>3.1</v>
      </c>
      <c r="Y62" s="65">
        <v>3.1</v>
      </c>
      <c r="Z62" s="65">
        <v>3.1</v>
      </c>
      <c r="AA62" s="65">
        <v>3.1</v>
      </c>
      <c r="AB62" s="65">
        <v>3.2</v>
      </c>
      <c r="AC62" s="65">
        <v>3.2</v>
      </c>
      <c r="AD62" s="65">
        <v>3.2</v>
      </c>
      <c r="AE62" s="65">
        <v>3.2</v>
      </c>
      <c r="AF62" s="65">
        <v>3.2</v>
      </c>
      <c r="AG62" s="54">
        <v>14</v>
      </c>
      <c r="AH62" s="47">
        <f t="shared" si="2"/>
        <v>4.5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</v>
      </c>
      <c r="Q63" s="65">
        <v>4.5</v>
      </c>
      <c r="R63" s="65">
        <v>4.5</v>
      </c>
      <c r="S63" s="65">
        <v>4.5</v>
      </c>
      <c r="T63" s="65">
        <v>4.5</v>
      </c>
      <c r="U63" s="65">
        <v>4.5</v>
      </c>
      <c r="V63" s="65">
        <v>4.5</v>
      </c>
      <c r="W63" s="65">
        <v>4.5</v>
      </c>
      <c r="X63" s="65">
        <v>4.5</v>
      </c>
      <c r="Y63" s="65">
        <v>4.5</v>
      </c>
      <c r="Z63" s="65">
        <v>4.5</v>
      </c>
      <c r="AA63" s="65">
        <v>4.5</v>
      </c>
      <c r="AB63" s="65">
        <v>4.5</v>
      </c>
      <c r="AC63" s="65">
        <v>4.5</v>
      </c>
      <c r="AD63" s="65">
        <v>4.5</v>
      </c>
      <c r="AE63" s="65">
        <v>4.5</v>
      </c>
      <c r="AF63" s="65">
        <v>4.5</v>
      </c>
      <c r="AG63" s="54">
        <v>10.050000000000001</v>
      </c>
      <c r="AH63" s="47">
        <f t="shared" si="2"/>
        <v>4.5</v>
      </c>
      <c r="AI63" s="48">
        <f t="shared" si="3"/>
        <v>4.5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14">SUM(B53:B65)</f>
        <v>81.940000000000012</v>
      </c>
      <c r="C66" s="60">
        <f t="shared" ref="C66:E66" si="15">SUM(C53:C65)</f>
        <v>81.940000000000012</v>
      </c>
      <c r="D66" s="60">
        <f t="shared" si="15"/>
        <v>81.940000000000012</v>
      </c>
      <c r="E66" s="60">
        <f t="shared" si="15"/>
        <v>81.940000000000012</v>
      </c>
      <c r="F66" s="60">
        <f t="shared" ref="F66:G66" si="16">SUM(F53:F65)</f>
        <v>81.940000000000012</v>
      </c>
      <c r="G66" s="60">
        <f t="shared" si="16"/>
        <v>81.940000000000012</v>
      </c>
      <c r="H66" s="60">
        <f t="shared" ref="H66:L66" si="17">SUM(H53:H65)</f>
        <v>111.94</v>
      </c>
      <c r="I66" s="60">
        <f t="shared" si="17"/>
        <v>111.94</v>
      </c>
      <c r="J66" s="60">
        <f t="shared" si="17"/>
        <v>164.93999999999997</v>
      </c>
      <c r="K66" s="60">
        <f t="shared" si="17"/>
        <v>194.93999999999997</v>
      </c>
      <c r="L66" s="60">
        <f t="shared" si="17"/>
        <v>194.93999999999997</v>
      </c>
      <c r="M66" s="60">
        <f t="shared" si="14"/>
        <v>232.23999999999998</v>
      </c>
      <c r="N66" s="60">
        <f t="shared" si="14"/>
        <v>302.14000000000004</v>
      </c>
      <c r="O66" s="60">
        <f t="shared" si="14"/>
        <v>223.03999999999996</v>
      </c>
      <c r="P66" s="60">
        <f t="shared" si="14"/>
        <v>204.33999999999997</v>
      </c>
      <c r="Q66" s="60">
        <f t="shared" si="14"/>
        <v>173.53999999999996</v>
      </c>
      <c r="R66" s="60">
        <f t="shared" si="14"/>
        <v>173.53999999999996</v>
      </c>
      <c r="S66" s="60">
        <f t="shared" si="14"/>
        <v>156.43999999999997</v>
      </c>
      <c r="T66" s="60">
        <f t="shared" si="14"/>
        <v>163.93999999999997</v>
      </c>
      <c r="U66" s="60">
        <f t="shared" si="14"/>
        <v>163.93999999999997</v>
      </c>
      <c r="V66" s="60">
        <f t="shared" si="14"/>
        <v>176.93999999999997</v>
      </c>
      <c r="W66" s="60">
        <f t="shared" si="14"/>
        <v>215.83999999999997</v>
      </c>
      <c r="X66" s="60">
        <f t="shared" si="14"/>
        <v>305.84000000000009</v>
      </c>
      <c r="Y66" s="60">
        <f t="shared" si="14"/>
        <v>323.24000000000007</v>
      </c>
      <c r="Z66" s="60">
        <f t="shared" si="14"/>
        <v>323.24000000000007</v>
      </c>
      <c r="AA66" s="60">
        <f t="shared" si="14"/>
        <v>308.24000000000007</v>
      </c>
      <c r="AB66" s="60">
        <f t="shared" si="14"/>
        <v>257.64</v>
      </c>
      <c r="AC66" s="60">
        <f t="shared" si="14"/>
        <v>257.93999999999994</v>
      </c>
      <c r="AD66" s="60">
        <f t="shared" ref="AD66" si="18">SUM(AD53:AD65)</f>
        <v>257.73999999999995</v>
      </c>
      <c r="AE66" s="60">
        <f t="shared" si="14"/>
        <v>207.93999999999997</v>
      </c>
      <c r="AF66" s="60">
        <f t="shared" si="14"/>
        <v>168.83999999999997</v>
      </c>
      <c r="AG66" s="61">
        <f t="shared" si="14"/>
        <v>489.91</v>
      </c>
      <c r="AH66" s="47">
        <f t="shared" si="2"/>
        <v>323.24000000000007</v>
      </c>
      <c r="AI66" s="48">
        <f t="shared" si="3"/>
        <v>81.940000000000012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35</v>
      </c>
      <c r="O67" s="45">
        <v>45</v>
      </c>
      <c r="P67" s="45">
        <v>45</v>
      </c>
      <c r="Q67" s="45">
        <v>45</v>
      </c>
      <c r="R67" s="45">
        <v>45</v>
      </c>
      <c r="S67" s="45">
        <v>45</v>
      </c>
      <c r="T67" s="45">
        <v>45</v>
      </c>
      <c r="U67" s="45">
        <v>60</v>
      </c>
      <c r="V67" s="45">
        <v>60</v>
      </c>
      <c r="W67" s="45">
        <v>60</v>
      </c>
      <c r="X67" s="45">
        <v>60</v>
      </c>
      <c r="Y67" s="45">
        <v>60</v>
      </c>
      <c r="Z67" s="45">
        <v>60</v>
      </c>
      <c r="AA67" s="45">
        <v>30</v>
      </c>
      <c r="AB67" s="45">
        <v>15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7.9</v>
      </c>
      <c r="O68" s="65">
        <v>19.8</v>
      </c>
      <c r="P68" s="65">
        <v>19.8</v>
      </c>
      <c r="Q68" s="65">
        <v>19.8</v>
      </c>
      <c r="R68" s="65">
        <v>19.8</v>
      </c>
      <c r="S68" s="65">
        <v>19.8</v>
      </c>
      <c r="T68" s="65">
        <v>22</v>
      </c>
      <c r="U68" s="65">
        <v>28.8</v>
      </c>
      <c r="V68" s="65">
        <v>28.8</v>
      </c>
      <c r="W68" s="65">
        <v>28.8</v>
      </c>
      <c r="X68" s="65">
        <v>28.8</v>
      </c>
      <c r="Y68" s="65">
        <v>28.8</v>
      </c>
      <c r="Z68" s="65">
        <v>28.8</v>
      </c>
      <c r="AA68" s="65">
        <v>14.1</v>
      </c>
      <c r="AB68" s="65">
        <v>5.8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28.8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2.9</v>
      </c>
      <c r="O69" s="67">
        <v>7.2</v>
      </c>
      <c r="P69" s="67">
        <v>7.2</v>
      </c>
      <c r="Q69" s="67">
        <v>7.2</v>
      </c>
      <c r="R69" s="67">
        <v>7.2</v>
      </c>
      <c r="S69" s="67">
        <v>7.2</v>
      </c>
      <c r="T69" s="67">
        <v>8</v>
      </c>
      <c r="U69" s="67">
        <v>10.5</v>
      </c>
      <c r="V69" s="67">
        <v>10.5</v>
      </c>
      <c r="W69" s="67">
        <v>10.5</v>
      </c>
      <c r="X69" s="67">
        <v>10.5</v>
      </c>
      <c r="Y69" s="67">
        <v>10.5</v>
      </c>
      <c r="Z69" s="67">
        <v>10.5</v>
      </c>
      <c r="AA69" s="67">
        <v>5.0999999999999996</v>
      </c>
      <c r="AB69" s="67">
        <v>2.1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10.5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:E70" si="19">B67+B68+B69</f>
        <v>0</v>
      </c>
      <c r="C70" s="60">
        <f t="shared" si="19"/>
        <v>0</v>
      </c>
      <c r="D70" s="60">
        <f t="shared" si="19"/>
        <v>0</v>
      </c>
      <c r="E70" s="60">
        <f t="shared" si="19"/>
        <v>0</v>
      </c>
      <c r="F70" s="60">
        <f t="shared" ref="F70:G70" si="20">F67+F68+F69</f>
        <v>0</v>
      </c>
      <c r="G70" s="60">
        <f t="shared" si="20"/>
        <v>0</v>
      </c>
      <c r="H70" s="60">
        <f t="shared" ref="H70:L70" si="21">H67+H68+H69</f>
        <v>0</v>
      </c>
      <c r="I70" s="60">
        <f t="shared" si="21"/>
        <v>0</v>
      </c>
      <c r="J70" s="60">
        <f t="shared" si="21"/>
        <v>0</v>
      </c>
      <c r="K70" s="60">
        <f t="shared" si="21"/>
        <v>0</v>
      </c>
      <c r="L70" s="60">
        <f t="shared" si="21"/>
        <v>0</v>
      </c>
      <c r="M70" s="60">
        <f t="shared" ref="M70:AF70" si="22">M67+M68+M69</f>
        <v>0</v>
      </c>
      <c r="N70" s="60">
        <f t="shared" si="22"/>
        <v>45.8</v>
      </c>
      <c r="O70" s="60">
        <f t="shared" si="22"/>
        <v>72</v>
      </c>
      <c r="P70" s="60">
        <f t="shared" si="22"/>
        <v>72</v>
      </c>
      <c r="Q70" s="60">
        <f t="shared" si="22"/>
        <v>72</v>
      </c>
      <c r="R70" s="60">
        <f t="shared" si="22"/>
        <v>72</v>
      </c>
      <c r="S70" s="60">
        <f t="shared" si="22"/>
        <v>72</v>
      </c>
      <c r="T70" s="60">
        <f t="shared" si="22"/>
        <v>75</v>
      </c>
      <c r="U70" s="60">
        <f t="shared" si="22"/>
        <v>99.3</v>
      </c>
      <c r="V70" s="60">
        <f t="shared" si="22"/>
        <v>99.3</v>
      </c>
      <c r="W70" s="60">
        <f t="shared" si="22"/>
        <v>99.3</v>
      </c>
      <c r="X70" s="60">
        <f t="shared" si="22"/>
        <v>99.3</v>
      </c>
      <c r="Y70" s="60">
        <f t="shared" si="22"/>
        <v>99.3</v>
      </c>
      <c r="Z70" s="60">
        <f t="shared" si="22"/>
        <v>99.3</v>
      </c>
      <c r="AA70" s="60">
        <f t="shared" si="22"/>
        <v>49.2</v>
      </c>
      <c r="AB70" s="60">
        <f t="shared" si="22"/>
        <v>22.900000000000002</v>
      </c>
      <c r="AC70" s="60">
        <f t="shared" si="22"/>
        <v>0</v>
      </c>
      <c r="AD70" s="60">
        <f t="shared" ref="AD70" si="23">AD67+AD68+AD69</f>
        <v>0</v>
      </c>
      <c r="AE70" s="60">
        <f t="shared" si="22"/>
        <v>0</v>
      </c>
      <c r="AF70" s="60">
        <f t="shared" si="22"/>
        <v>0</v>
      </c>
      <c r="AG70" s="61">
        <f>SUM(AG67:AG69)</f>
        <v>106</v>
      </c>
      <c r="AH70" s="47">
        <f t="shared" si="2"/>
        <v>99.3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69</v>
      </c>
      <c r="C71" s="45">
        <v>69</v>
      </c>
      <c r="D71" s="45">
        <v>69</v>
      </c>
      <c r="E71" s="45">
        <v>69</v>
      </c>
      <c r="F71" s="45">
        <v>56</v>
      </c>
      <c r="G71" s="45">
        <v>60</v>
      </c>
      <c r="H71" s="45">
        <v>60</v>
      </c>
      <c r="I71" s="45">
        <v>60</v>
      </c>
      <c r="J71" s="45">
        <v>62</v>
      </c>
      <c r="K71" s="45">
        <v>64</v>
      </c>
      <c r="L71" s="45">
        <v>68</v>
      </c>
      <c r="M71" s="45">
        <v>69.900000000000006</v>
      </c>
      <c r="N71" s="45">
        <v>57</v>
      </c>
      <c r="O71" s="45">
        <v>67.599999999999994</v>
      </c>
      <c r="P71" s="45">
        <v>59.7</v>
      </c>
      <c r="Q71" s="45">
        <v>64.900000000000006</v>
      </c>
      <c r="R71" s="45">
        <v>64.900000000000006</v>
      </c>
      <c r="S71" s="45">
        <v>74</v>
      </c>
      <c r="T71" s="45">
        <v>65</v>
      </c>
      <c r="U71" s="45">
        <v>57</v>
      </c>
      <c r="V71" s="45">
        <v>57</v>
      </c>
      <c r="W71" s="45">
        <v>58</v>
      </c>
      <c r="X71" s="45">
        <v>61.2</v>
      </c>
      <c r="Y71" s="45">
        <v>69</v>
      </c>
      <c r="Z71" s="45">
        <v>70</v>
      </c>
      <c r="AA71" s="45">
        <v>64.099999999999994</v>
      </c>
      <c r="AB71" s="45">
        <v>64.7</v>
      </c>
      <c r="AC71" s="45">
        <v>61</v>
      </c>
      <c r="AD71" s="45">
        <v>62.5</v>
      </c>
      <c r="AE71" s="45">
        <v>58</v>
      </c>
      <c r="AF71" s="45">
        <v>55.1</v>
      </c>
      <c r="AG71" s="51"/>
      <c r="AH71" s="47">
        <f t="shared" si="2"/>
        <v>74</v>
      </c>
      <c r="AI71" s="48">
        <f t="shared" si="3"/>
        <v>55.1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/>
      <c r="O72" s="65">
        <v>15</v>
      </c>
      <c r="P72" s="65">
        <v>10</v>
      </c>
      <c r="Q72" s="65">
        <v>-10</v>
      </c>
      <c r="R72" s="65">
        <v>-10</v>
      </c>
      <c r="S72" s="65">
        <v>10</v>
      </c>
      <c r="T72" s="65">
        <v>5</v>
      </c>
      <c r="U72" s="65">
        <v>7.5</v>
      </c>
      <c r="V72" s="65">
        <v>7.5</v>
      </c>
      <c r="W72" s="65">
        <v>14</v>
      </c>
      <c r="X72" s="65">
        <v>2.2000000000000002</v>
      </c>
      <c r="Y72" s="65">
        <v>36</v>
      </c>
      <c r="Z72" s="65">
        <v>24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36</v>
      </c>
      <c r="AI72" s="48">
        <f t="shared" si="3"/>
        <v>-10</v>
      </c>
      <c r="AK72" s="49"/>
    </row>
    <row r="73" spans="1:40" x14ac:dyDescent="0.25">
      <c r="A73" s="53" t="s">
        <v>77</v>
      </c>
      <c r="B73" s="65">
        <v>318</v>
      </c>
      <c r="C73" s="65">
        <v>318</v>
      </c>
      <c r="D73" s="65">
        <v>318</v>
      </c>
      <c r="E73" s="65">
        <v>260</v>
      </c>
      <c r="F73" s="65">
        <v>270</v>
      </c>
      <c r="G73" s="65">
        <v>282</v>
      </c>
      <c r="H73" s="65">
        <v>320</v>
      </c>
      <c r="I73" s="65">
        <v>320</v>
      </c>
      <c r="J73" s="65">
        <v>300</v>
      </c>
      <c r="K73" s="65">
        <v>290</v>
      </c>
      <c r="L73" s="65">
        <v>210</v>
      </c>
      <c r="M73" s="65">
        <v>292.7</v>
      </c>
      <c r="N73" s="65">
        <v>10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268</v>
      </c>
      <c r="AB73" s="65">
        <v>285</v>
      </c>
      <c r="AC73" s="65">
        <v>287</v>
      </c>
      <c r="AD73" s="65">
        <v>245.6</v>
      </c>
      <c r="AE73" s="65">
        <v>235.4</v>
      </c>
      <c r="AF73" s="65">
        <v>237.8</v>
      </c>
      <c r="AG73" s="75"/>
      <c r="AH73" s="47">
        <f t="shared" si="2"/>
        <v>320</v>
      </c>
      <c r="AI73" s="48">
        <f t="shared" si="3"/>
        <v>0</v>
      </c>
      <c r="AK73" s="49"/>
    </row>
    <row r="74" spans="1:40" x14ac:dyDescent="0.25">
      <c r="A74" s="53" t="s">
        <v>78</v>
      </c>
      <c r="B74" s="65">
        <v>60</v>
      </c>
      <c r="C74" s="65">
        <v>60</v>
      </c>
      <c r="D74" s="65">
        <v>60</v>
      </c>
      <c r="E74" s="65">
        <v>60</v>
      </c>
      <c r="F74" s="65">
        <v>60</v>
      </c>
      <c r="G74" s="65">
        <v>60</v>
      </c>
      <c r="H74" s="65">
        <v>60</v>
      </c>
      <c r="I74" s="65">
        <v>60</v>
      </c>
      <c r="J74" s="65">
        <v>60</v>
      </c>
      <c r="K74" s="65">
        <v>60</v>
      </c>
      <c r="L74" s="65">
        <v>60</v>
      </c>
      <c r="M74" s="76">
        <v>64.5</v>
      </c>
      <c r="N74" s="76">
        <v>65</v>
      </c>
      <c r="O74" s="76">
        <v>66.2</v>
      </c>
      <c r="P74" s="76">
        <v>66.2</v>
      </c>
      <c r="Q74" s="76">
        <v>66.2</v>
      </c>
      <c r="R74" s="76">
        <v>66.2</v>
      </c>
      <c r="S74" s="76">
        <v>66.2</v>
      </c>
      <c r="T74" s="76">
        <v>66.2</v>
      </c>
      <c r="U74" s="76">
        <v>62</v>
      </c>
      <c r="V74" s="76">
        <v>62</v>
      </c>
      <c r="W74" s="76">
        <v>62</v>
      </c>
      <c r="X74" s="76">
        <v>62</v>
      </c>
      <c r="Y74" s="65">
        <v>62</v>
      </c>
      <c r="Z74" s="65">
        <v>62</v>
      </c>
      <c r="AA74" s="65">
        <v>63</v>
      </c>
      <c r="AB74" s="65">
        <v>61.6</v>
      </c>
      <c r="AC74" s="65">
        <v>58.3</v>
      </c>
      <c r="AD74" s="65">
        <v>56.9</v>
      </c>
      <c r="AE74" s="65">
        <v>58</v>
      </c>
      <c r="AF74" s="65">
        <v>20</v>
      </c>
      <c r="AG74" s="75"/>
      <c r="AH74" s="47">
        <f t="shared" si="2"/>
        <v>66.2</v>
      </c>
      <c r="AI74" s="48">
        <f t="shared" si="3"/>
        <v>20</v>
      </c>
      <c r="AK74" s="49"/>
    </row>
    <row r="75" spans="1:40" x14ac:dyDescent="0.25">
      <c r="A75" s="53" t="s">
        <v>79</v>
      </c>
      <c r="B75" s="45">
        <v>80</v>
      </c>
      <c r="C75" s="45">
        <v>80</v>
      </c>
      <c r="D75" s="45">
        <v>80</v>
      </c>
      <c r="E75" s="45">
        <v>80</v>
      </c>
      <c r="F75" s="45">
        <v>80</v>
      </c>
      <c r="G75" s="45">
        <v>80</v>
      </c>
      <c r="H75" s="45">
        <v>80</v>
      </c>
      <c r="I75" s="45">
        <v>80</v>
      </c>
      <c r="J75" s="45">
        <v>80</v>
      </c>
      <c r="K75" s="45">
        <v>80</v>
      </c>
      <c r="L75" s="45">
        <v>80</v>
      </c>
      <c r="M75" s="45"/>
      <c r="N75" s="45">
        <v>83</v>
      </c>
      <c r="O75" s="45">
        <v>83</v>
      </c>
      <c r="P75" s="45">
        <v>83</v>
      </c>
      <c r="Q75" s="45">
        <v>83</v>
      </c>
      <c r="R75" s="45">
        <v>83</v>
      </c>
      <c r="S75" s="45">
        <v>83</v>
      </c>
      <c r="T75" s="45">
        <v>66</v>
      </c>
      <c r="U75" s="45">
        <v>70</v>
      </c>
      <c r="V75" s="45">
        <v>70</v>
      </c>
      <c r="W75" s="45">
        <v>80</v>
      </c>
      <c r="X75" s="45">
        <v>80</v>
      </c>
      <c r="Y75" s="45">
        <v>80</v>
      </c>
      <c r="Z75" s="45">
        <v>80</v>
      </c>
      <c r="AA75" s="45">
        <v>80</v>
      </c>
      <c r="AB75" s="45">
        <v>60</v>
      </c>
      <c r="AC75" s="45">
        <v>72</v>
      </c>
      <c r="AD75" s="45">
        <v>75</v>
      </c>
      <c r="AE75" s="45">
        <v>75</v>
      </c>
      <c r="AF75" s="45">
        <v>70</v>
      </c>
      <c r="AG75" s="75"/>
      <c r="AH75" s="47">
        <f t="shared" ref="AH75:AH117" si="24">MAX(B75:AF75)</f>
        <v>83</v>
      </c>
      <c r="AI75" s="48">
        <f t="shared" ref="AI75:AI117" si="25">MIN(B75:AF75)</f>
        <v>60</v>
      </c>
      <c r="AK75" s="49"/>
    </row>
    <row r="76" spans="1:40" x14ac:dyDescent="0.25">
      <c r="A76" s="53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24"/>
        <v>0</v>
      </c>
      <c r="AI76" s="48">
        <f t="shared" si="25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24"/>
        <v>0</v>
      </c>
      <c r="AI77" s="48">
        <f t="shared" si="25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24"/>
        <v>0</v>
      </c>
      <c r="AI78" s="48">
        <f t="shared" si="25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24"/>
        <v>0</v>
      </c>
      <c r="AI79" s="48">
        <f t="shared" si="25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24"/>
        <v>0</v>
      </c>
      <c r="AI80" s="48">
        <f t="shared" si="25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24"/>
        <v>0</v>
      </c>
      <c r="AI81" s="48">
        <f t="shared" si="25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26">SUMIF(B71:B81,"&gt;0")</f>
        <v>527</v>
      </c>
      <c r="C82" s="60">
        <f t="shared" ref="C82:E82" si="27">SUMIF(C71:C81,"&gt;0")</f>
        <v>527</v>
      </c>
      <c r="D82" s="60">
        <f t="shared" si="27"/>
        <v>527</v>
      </c>
      <c r="E82" s="60">
        <f t="shared" si="27"/>
        <v>469</v>
      </c>
      <c r="F82" s="60">
        <f t="shared" ref="F82:G82" si="28">SUMIF(F71:F81,"&gt;0")</f>
        <v>466</v>
      </c>
      <c r="G82" s="60">
        <f t="shared" si="28"/>
        <v>482</v>
      </c>
      <c r="H82" s="60">
        <f t="shared" ref="H82:L82" si="29">SUMIF(H71:H81,"&gt;0")</f>
        <v>520</v>
      </c>
      <c r="I82" s="60">
        <f t="shared" si="29"/>
        <v>520</v>
      </c>
      <c r="J82" s="60">
        <f t="shared" si="29"/>
        <v>502</v>
      </c>
      <c r="K82" s="60">
        <f t="shared" si="29"/>
        <v>494</v>
      </c>
      <c r="L82" s="60">
        <f t="shared" si="29"/>
        <v>418</v>
      </c>
      <c r="M82" s="60">
        <f t="shared" si="26"/>
        <v>427.1</v>
      </c>
      <c r="N82" s="60">
        <f t="shared" si="26"/>
        <v>215</v>
      </c>
      <c r="O82" s="60">
        <f t="shared" si="26"/>
        <v>231.8</v>
      </c>
      <c r="P82" s="60">
        <f t="shared" si="26"/>
        <v>218.9</v>
      </c>
      <c r="Q82" s="60">
        <f t="shared" si="26"/>
        <v>214.10000000000002</v>
      </c>
      <c r="R82" s="60">
        <f t="shared" si="26"/>
        <v>214.10000000000002</v>
      </c>
      <c r="S82" s="60">
        <f t="shared" si="26"/>
        <v>233.2</v>
      </c>
      <c r="T82" s="60">
        <f t="shared" si="26"/>
        <v>202.2</v>
      </c>
      <c r="U82" s="60">
        <f t="shared" si="26"/>
        <v>196.5</v>
      </c>
      <c r="V82" s="60">
        <f t="shared" si="26"/>
        <v>196.5</v>
      </c>
      <c r="W82" s="60">
        <f t="shared" si="26"/>
        <v>214</v>
      </c>
      <c r="X82" s="60">
        <f t="shared" si="26"/>
        <v>205.4</v>
      </c>
      <c r="Y82" s="60">
        <f t="shared" si="26"/>
        <v>247</v>
      </c>
      <c r="Z82" s="60">
        <f t="shared" si="26"/>
        <v>236</v>
      </c>
      <c r="AA82" s="60">
        <f t="shared" si="26"/>
        <v>475.1</v>
      </c>
      <c r="AB82" s="60">
        <f t="shared" si="26"/>
        <v>471.3</v>
      </c>
      <c r="AC82" s="60">
        <f t="shared" si="26"/>
        <v>478.3</v>
      </c>
      <c r="AD82" s="60">
        <f t="shared" ref="AD82" si="30">SUMIF(AD71:AD81,"&gt;0")</f>
        <v>440</v>
      </c>
      <c r="AE82" s="60">
        <f t="shared" si="26"/>
        <v>426.4</v>
      </c>
      <c r="AF82" s="60">
        <f t="shared" si="26"/>
        <v>382.90000000000003</v>
      </c>
      <c r="AG82" s="88">
        <f>SUM(AG71:AG81)</f>
        <v>0</v>
      </c>
      <c r="AH82" s="47">
        <f t="shared" si="24"/>
        <v>527</v>
      </c>
      <c r="AI82" s="48">
        <f t="shared" si="25"/>
        <v>196.5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24"/>
        <v>0</v>
      </c>
      <c r="AI83" s="48">
        <f t="shared" si="25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24"/>
        <v>0</v>
      </c>
      <c r="AI84" s="48">
        <f t="shared" si="25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24"/>
        <v>0</v>
      </c>
      <c r="AI85" s="48">
        <f t="shared" si="25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24"/>
        <v>0</v>
      </c>
      <c r="AI86" s="48">
        <f t="shared" si="25"/>
        <v>0</v>
      </c>
    </row>
    <row r="87" spans="1:40" ht="15.75" thickBot="1" x14ac:dyDescent="0.3">
      <c r="A87" s="74" t="s">
        <v>94</v>
      </c>
      <c r="B87" s="95">
        <f t="shared" ref="B87:AG87" si="31">B48+B52+B70+B66+B82+B86</f>
        <v>1054.74</v>
      </c>
      <c r="C87" s="95">
        <f t="shared" ref="C87:E87" si="32">C48+C52+C70+C66+C82+C86</f>
        <v>1074.74</v>
      </c>
      <c r="D87" s="95">
        <f t="shared" si="32"/>
        <v>1064.74</v>
      </c>
      <c r="E87" s="95">
        <f t="shared" si="32"/>
        <v>990.34</v>
      </c>
      <c r="F87" s="95">
        <f t="shared" ref="F87:G87" si="33">F48+F52+F70+F66+F82+F86</f>
        <v>977.33999999999992</v>
      </c>
      <c r="G87" s="95">
        <f t="shared" si="33"/>
        <v>1003.34</v>
      </c>
      <c r="H87" s="95">
        <f t="shared" ref="H87:L87" si="34">H48+H52+H70+H66+H82+H86</f>
        <v>1051.3399999999999</v>
      </c>
      <c r="I87" s="95">
        <f t="shared" si="34"/>
        <v>1091.3399999999999</v>
      </c>
      <c r="J87" s="95">
        <f t="shared" si="34"/>
        <v>1142.3399999999999</v>
      </c>
      <c r="K87" s="95">
        <f t="shared" si="34"/>
        <v>1178.3399999999999</v>
      </c>
      <c r="L87" s="95">
        <f t="shared" si="34"/>
        <v>1162.3399999999999</v>
      </c>
      <c r="M87" s="95">
        <f t="shared" si="31"/>
        <v>1188.74</v>
      </c>
      <c r="N87" s="95">
        <f t="shared" si="31"/>
        <v>1232.3399999999999</v>
      </c>
      <c r="O87" s="95">
        <f t="shared" si="31"/>
        <v>1126.24</v>
      </c>
      <c r="P87" s="95">
        <f t="shared" si="31"/>
        <v>1094.6400000000001</v>
      </c>
      <c r="Q87" s="95">
        <f t="shared" si="31"/>
        <v>1059.04</v>
      </c>
      <c r="R87" s="95">
        <f t="shared" si="31"/>
        <v>1059.04</v>
      </c>
      <c r="S87" s="95">
        <f t="shared" si="31"/>
        <v>1021.04</v>
      </c>
      <c r="T87" s="95">
        <f t="shared" si="31"/>
        <v>1005.54</v>
      </c>
      <c r="U87" s="95">
        <f t="shared" si="31"/>
        <v>1019.1399999999999</v>
      </c>
      <c r="V87" s="95">
        <f t="shared" si="31"/>
        <v>1022.1399999999999</v>
      </c>
      <c r="W87" s="95">
        <f t="shared" si="31"/>
        <v>1038.54</v>
      </c>
      <c r="X87" s="95">
        <f t="shared" si="31"/>
        <v>1099.94</v>
      </c>
      <c r="Y87" s="95">
        <f t="shared" si="31"/>
        <v>1218.94</v>
      </c>
      <c r="Z87" s="95">
        <f t="shared" si="31"/>
        <v>1207.94</v>
      </c>
      <c r="AA87" s="95">
        <f t="shared" si="31"/>
        <v>1246.94</v>
      </c>
      <c r="AB87" s="95">
        <f t="shared" si="31"/>
        <v>1201.24</v>
      </c>
      <c r="AC87" s="95">
        <f t="shared" si="31"/>
        <v>1187.24</v>
      </c>
      <c r="AD87" s="95">
        <f t="shared" ref="AD87" si="35">AD48+AD52+AD70+AD66+AD82+AD86</f>
        <v>1151.1399999999999</v>
      </c>
      <c r="AE87" s="95">
        <f t="shared" si="31"/>
        <v>1032.1399999999999</v>
      </c>
      <c r="AF87" s="95">
        <f t="shared" si="31"/>
        <v>948.6400000000001</v>
      </c>
      <c r="AG87" s="61">
        <f t="shared" si="31"/>
        <v>2065.09</v>
      </c>
      <c r="AH87" s="47">
        <f>MAX(B87:AF87)</f>
        <v>1246.94</v>
      </c>
      <c r="AI87" s="48">
        <f>MIN(B87:AF87)</f>
        <v>948.6400000000001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>
        <v>100</v>
      </c>
      <c r="L88" s="97">
        <v>100</v>
      </c>
      <c r="M88" s="97">
        <v>100</v>
      </c>
      <c r="N88" s="97"/>
      <c r="O88" s="97"/>
      <c r="P88" s="97"/>
      <c r="Q88" s="97"/>
      <c r="R88" s="97"/>
      <c r="S88" s="97">
        <v>100</v>
      </c>
      <c r="T88" s="97">
        <v>100</v>
      </c>
      <c r="U88" s="97">
        <v>100</v>
      </c>
      <c r="V88" s="97">
        <v>100</v>
      </c>
      <c r="W88" s="97">
        <v>150</v>
      </c>
      <c r="X88" s="97">
        <v>150</v>
      </c>
      <c r="Y88" s="97">
        <v>150</v>
      </c>
      <c r="Z88" s="97">
        <v>150</v>
      </c>
      <c r="AA88" s="97">
        <v>100</v>
      </c>
      <c r="AB88" s="97">
        <v>50</v>
      </c>
      <c r="AC88" s="97"/>
      <c r="AD88" s="97"/>
      <c r="AE88" s="97"/>
      <c r="AF88" s="97"/>
      <c r="AG88" s="88"/>
      <c r="AH88" s="47">
        <f t="shared" si="24"/>
        <v>150</v>
      </c>
      <c r="AI88" s="48">
        <f t="shared" si="25"/>
        <v>50</v>
      </c>
    </row>
    <row r="89" spans="1:40" ht="15.75" thickBot="1" x14ac:dyDescent="0.3">
      <c r="A89" s="74" t="s">
        <v>96</v>
      </c>
      <c r="B89" s="95">
        <f t="shared" ref="B89:AF89" si="36">B87+B88</f>
        <v>1054.74</v>
      </c>
      <c r="C89" s="95">
        <f t="shared" ref="C89:E89" si="37">C87+C88</f>
        <v>1074.74</v>
      </c>
      <c r="D89" s="95">
        <f t="shared" si="37"/>
        <v>1064.74</v>
      </c>
      <c r="E89" s="95">
        <f t="shared" si="37"/>
        <v>990.34</v>
      </c>
      <c r="F89" s="95">
        <f t="shared" ref="F89:G89" si="38">F87+F88</f>
        <v>977.33999999999992</v>
      </c>
      <c r="G89" s="95">
        <f t="shared" si="38"/>
        <v>1003.34</v>
      </c>
      <c r="H89" s="95">
        <f t="shared" ref="H89:L89" si="39">H87+H88</f>
        <v>1051.3399999999999</v>
      </c>
      <c r="I89" s="95">
        <f t="shared" si="39"/>
        <v>1091.3399999999999</v>
      </c>
      <c r="J89" s="95">
        <f t="shared" si="39"/>
        <v>1142.3399999999999</v>
      </c>
      <c r="K89" s="95">
        <f t="shared" si="39"/>
        <v>1278.3399999999999</v>
      </c>
      <c r="L89" s="95">
        <f t="shared" si="39"/>
        <v>1262.3399999999999</v>
      </c>
      <c r="M89" s="95">
        <f t="shared" si="36"/>
        <v>1288.74</v>
      </c>
      <c r="N89" s="95">
        <f t="shared" si="36"/>
        <v>1232.3399999999999</v>
      </c>
      <c r="O89" s="95">
        <f t="shared" si="36"/>
        <v>1126.24</v>
      </c>
      <c r="P89" s="95">
        <f t="shared" si="36"/>
        <v>1094.6400000000001</v>
      </c>
      <c r="Q89" s="95">
        <f t="shared" si="36"/>
        <v>1059.04</v>
      </c>
      <c r="R89" s="95">
        <f t="shared" si="36"/>
        <v>1059.04</v>
      </c>
      <c r="S89" s="95">
        <f t="shared" si="36"/>
        <v>1121.04</v>
      </c>
      <c r="T89" s="95">
        <f t="shared" si="36"/>
        <v>1105.54</v>
      </c>
      <c r="U89" s="95">
        <f t="shared" si="36"/>
        <v>1119.1399999999999</v>
      </c>
      <c r="V89" s="95">
        <f t="shared" si="36"/>
        <v>1122.1399999999999</v>
      </c>
      <c r="W89" s="95">
        <f t="shared" si="36"/>
        <v>1188.54</v>
      </c>
      <c r="X89" s="95">
        <f t="shared" si="36"/>
        <v>1249.94</v>
      </c>
      <c r="Y89" s="95">
        <f t="shared" si="36"/>
        <v>1368.94</v>
      </c>
      <c r="Z89" s="95">
        <f t="shared" si="36"/>
        <v>1357.94</v>
      </c>
      <c r="AA89" s="95">
        <f t="shared" si="36"/>
        <v>1346.94</v>
      </c>
      <c r="AB89" s="95">
        <f t="shared" si="36"/>
        <v>1251.24</v>
      </c>
      <c r="AC89" s="95">
        <f t="shared" si="36"/>
        <v>1187.24</v>
      </c>
      <c r="AD89" s="95">
        <f t="shared" ref="AD89" si="40">AD87+AD88</f>
        <v>1151.1399999999999</v>
      </c>
      <c r="AE89" s="95">
        <f t="shared" si="36"/>
        <v>1032.1399999999999</v>
      </c>
      <c r="AF89" s="95">
        <f t="shared" si="36"/>
        <v>948.6400000000001</v>
      </c>
      <c r="AG89" s="88">
        <f>AG86+AG82+AG70+AG66+AG48+AG88</f>
        <v>1526.99</v>
      </c>
      <c r="AH89" s="47">
        <f t="shared" si="24"/>
        <v>1368.94</v>
      </c>
      <c r="AI89" s="48">
        <f t="shared" si="25"/>
        <v>948.6400000000001</v>
      </c>
    </row>
    <row r="90" spans="1:40" ht="15.75" thickBot="1" x14ac:dyDescent="0.3">
      <c r="A90" s="74" t="s">
        <v>97</v>
      </c>
      <c r="B90" s="95">
        <f t="shared" ref="B90:AF90" si="41">B89-B97</f>
        <v>1054.74</v>
      </c>
      <c r="C90" s="95">
        <f t="shared" ref="C90:E90" si="42">C89-C97</f>
        <v>1074.74</v>
      </c>
      <c r="D90" s="95">
        <f t="shared" si="42"/>
        <v>1064.74</v>
      </c>
      <c r="E90" s="95">
        <f t="shared" si="42"/>
        <v>990.34</v>
      </c>
      <c r="F90" s="95">
        <f t="shared" ref="F90:G90" si="43">F89-F97</f>
        <v>977.33999999999992</v>
      </c>
      <c r="G90" s="95">
        <f t="shared" si="43"/>
        <v>1003.34</v>
      </c>
      <c r="H90" s="95">
        <f t="shared" ref="H90:L90" si="44">H89-H97</f>
        <v>1051.3399999999999</v>
      </c>
      <c r="I90" s="95">
        <f t="shared" si="44"/>
        <v>1091.3399999999999</v>
      </c>
      <c r="J90" s="95">
        <f t="shared" si="44"/>
        <v>1142.3399999999999</v>
      </c>
      <c r="K90" s="95">
        <f t="shared" si="44"/>
        <v>1278.3399999999999</v>
      </c>
      <c r="L90" s="95">
        <f t="shared" si="44"/>
        <v>1262.3399999999999</v>
      </c>
      <c r="M90" s="95">
        <f t="shared" si="41"/>
        <v>1288.74</v>
      </c>
      <c r="N90" s="95">
        <f t="shared" si="41"/>
        <v>1232.3399999999999</v>
      </c>
      <c r="O90" s="95">
        <f t="shared" si="41"/>
        <v>1126.24</v>
      </c>
      <c r="P90" s="95">
        <f t="shared" si="41"/>
        <v>1094.6400000000001</v>
      </c>
      <c r="Q90" s="95">
        <f t="shared" si="41"/>
        <v>1059.04</v>
      </c>
      <c r="R90" s="95">
        <f t="shared" si="41"/>
        <v>1059.04</v>
      </c>
      <c r="S90" s="95">
        <f t="shared" si="41"/>
        <v>1121.04</v>
      </c>
      <c r="T90" s="95">
        <f t="shared" si="41"/>
        <v>1105.54</v>
      </c>
      <c r="U90" s="95">
        <f t="shared" si="41"/>
        <v>1119.1399999999999</v>
      </c>
      <c r="V90" s="95">
        <f t="shared" si="41"/>
        <v>1122.1399999999999</v>
      </c>
      <c r="W90" s="95">
        <f t="shared" si="41"/>
        <v>1188.54</v>
      </c>
      <c r="X90" s="95">
        <f t="shared" si="41"/>
        <v>1249.94</v>
      </c>
      <c r="Y90" s="95">
        <f t="shared" si="41"/>
        <v>1368.94</v>
      </c>
      <c r="Z90" s="95">
        <f t="shared" si="41"/>
        <v>1357.94</v>
      </c>
      <c r="AA90" s="95">
        <f t="shared" si="41"/>
        <v>1346.94</v>
      </c>
      <c r="AB90" s="95">
        <f t="shared" si="41"/>
        <v>1251.24</v>
      </c>
      <c r="AC90" s="95">
        <f t="shared" si="41"/>
        <v>1187.24</v>
      </c>
      <c r="AD90" s="95">
        <f t="shared" ref="AD90" si="45">AD89-AD97</f>
        <v>1151.1399999999999</v>
      </c>
      <c r="AE90" s="95">
        <f t="shared" si="41"/>
        <v>1032.1399999999999</v>
      </c>
      <c r="AF90" s="95">
        <f t="shared" si="41"/>
        <v>948.6400000000001</v>
      </c>
      <c r="AG90" s="88"/>
      <c r="AH90" s="47">
        <f t="shared" si="24"/>
        <v>1368.94</v>
      </c>
      <c r="AI90" s="48">
        <f t="shared" si="25"/>
        <v>948.6400000000001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24"/>
        <v>0</v>
      </c>
      <c r="AI91" s="48">
        <f t="shared" si="25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24"/>
        <v>0</v>
      </c>
      <c r="AI92" s="48">
        <f t="shared" si="25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24"/>
        <v>0</v>
      </c>
      <c r="AI93" s="48">
        <f t="shared" si="25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24"/>
        <v>0</v>
      </c>
      <c r="AI94" s="48">
        <f t="shared" si="25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4"/>
        <v>0</v>
      </c>
      <c r="AI95" s="48">
        <f t="shared" si="25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24"/>
        <v>0</v>
      </c>
      <c r="AI96" s="48">
        <f t="shared" si="25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24"/>
        <v>0</v>
      </c>
      <c r="AI97" s="48">
        <f t="shared" si="25"/>
        <v>0</v>
      </c>
      <c r="AK97" s="49"/>
    </row>
    <row r="98" spans="1:37" ht="15.75" thickBot="1" x14ac:dyDescent="0.3">
      <c r="A98" s="74" t="s">
        <v>102</v>
      </c>
      <c r="B98" s="60">
        <f t="shared" ref="B98:AF98" si="46">B82-B97</f>
        <v>527</v>
      </c>
      <c r="C98" s="60">
        <f t="shared" ref="C98:E98" si="47">C82-C97</f>
        <v>527</v>
      </c>
      <c r="D98" s="60">
        <f t="shared" si="47"/>
        <v>527</v>
      </c>
      <c r="E98" s="60">
        <f t="shared" si="47"/>
        <v>469</v>
      </c>
      <c r="F98" s="60">
        <f t="shared" si="46"/>
        <v>466</v>
      </c>
      <c r="G98" s="60">
        <f t="shared" si="46"/>
        <v>482</v>
      </c>
      <c r="H98" s="60">
        <f t="shared" ref="H98:L98" si="48">H82-H97</f>
        <v>520</v>
      </c>
      <c r="I98" s="60">
        <f t="shared" si="48"/>
        <v>520</v>
      </c>
      <c r="J98" s="60">
        <f t="shared" si="48"/>
        <v>502</v>
      </c>
      <c r="K98" s="60">
        <f t="shared" si="48"/>
        <v>494</v>
      </c>
      <c r="L98" s="60">
        <f t="shared" si="48"/>
        <v>418</v>
      </c>
      <c r="M98" s="60">
        <f t="shared" si="46"/>
        <v>427.1</v>
      </c>
      <c r="N98" s="60">
        <f t="shared" si="46"/>
        <v>215</v>
      </c>
      <c r="O98" s="60">
        <f t="shared" si="46"/>
        <v>231.8</v>
      </c>
      <c r="P98" s="60">
        <f t="shared" si="46"/>
        <v>218.9</v>
      </c>
      <c r="Q98" s="60">
        <f t="shared" si="46"/>
        <v>214.10000000000002</v>
      </c>
      <c r="R98" s="60">
        <f t="shared" si="46"/>
        <v>214.10000000000002</v>
      </c>
      <c r="S98" s="60">
        <f t="shared" si="46"/>
        <v>233.2</v>
      </c>
      <c r="T98" s="60">
        <f t="shared" si="46"/>
        <v>202.2</v>
      </c>
      <c r="U98" s="60">
        <f t="shared" si="46"/>
        <v>196.5</v>
      </c>
      <c r="V98" s="60">
        <f t="shared" si="46"/>
        <v>196.5</v>
      </c>
      <c r="W98" s="60">
        <f t="shared" si="46"/>
        <v>214</v>
      </c>
      <c r="X98" s="60">
        <f t="shared" si="46"/>
        <v>205.4</v>
      </c>
      <c r="Y98" s="60">
        <f t="shared" si="46"/>
        <v>247</v>
      </c>
      <c r="Z98" s="60">
        <f t="shared" si="46"/>
        <v>236</v>
      </c>
      <c r="AA98" s="60">
        <f t="shared" si="46"/>
        <v>475.1</v>
      </c>
      <c r="AB98" s="60">
        <f t="shared" si="46"/>
        <v>471.3</v>
      </c>
      <c r="AC98" s="60">
        <f t="shared" si="46"/>
        <v>478.3</v>
      </c>
      <c r="AD98" s="60">
        <f t="shared" si="46"/>
        <v>440</v>
      </c>
      <c r="AE98" s="60">
        <f t="shared" si="46"/>
        <v>426.4</v>
      </c>
      <c r="AF98" s="60">
        <f t="shared" si="46"/>
        <v>382.90000000000003</v>
      </c>
      <c r="AG98" s="88"/>
      <c r="AH98" s="47">
        <f t="shared" si="24"/>
        <v>527</v>
      </c>
      <c r="AI98" s="48">
        <f t="shared" si="25"/>
        <v>196.5</v>
      </c>
    </row>
    <row r="99" spans="1:37" x14ac:dyDescent="0.25">
      <c r="A99" s="100" t="s">
        <v>103</v>
      </c>
      <c r="B99" s="101">
        <v>49.99</v>
      </c>
      <c r="C99" s="101">
        <v>49.99</v>
      </c>
      <c r="D99" s="101">
        <v>49.99</v>
      </c>
      <c r="E99" s="101">
        <v>50.03</v>
      </c>
      <c r="F99" s="101">
        <v>49.95</v>
      </c>
      <c r="G99" s="101">
        <v>50.08</v>
      </c>
      <c r="H99" s="101">
        <v>50.01</v>
      </c>
      <c r="I99" s="101">
        <v>50.05</v>
      </c>
      <c r="J99" s="101">
        <v>50.02</v>
      </c>
      <c r="K99" s="101">
        <v>49.97</v>
      </c>
      <c r="L99" s="101">
        <v>50.04</v>
      </c>
      <c r="M99" s="101">
        <v>50.07</v>
      </c>
      <c r="N99" s="101">
        <v>49.991999999999997</v>
      </c>
      <c r="O99" s="101">
        <v>50.07</v>
      </c>
      <c r="P99" s="101">
        <v>50.003</v>
      </c>
      <c r="Q99" s="101">
        <v>50.069000000000003</v>
      </c>
      <c r="R99" s="101">
        <v>50.069000000000003</v>
      </c>
      <c r="S99" s="101">
        <v>50.101999999999997</v>
      </c>
      <c r="T99" s="101">
        <v>50.017000000000003</v>
      </c>
      <c r="U99" s="101">
        <v>49.914000000000001</v>
      </c>
      <c r="V99" s="101">
        <v>49.914000000000001</v>
      </c>
      <c r="W99" s="101">
        <v>49.914000000000001</v>
      </c>
      <c r="X99" s="101">
        <v>50.064999999999998</v>
      </c>
      <c r="Y99" s="101">
        <v>50.064999999999998</v>
      </c>
      <c r="Z99" s="101">
        <v>50.064999999999998</v>
      </c>
      <c r="AA99" s="101">
        <v>49.941000000000003</v>
      </c>
      <c r="AB99" s="101">
        <v>49.966999999999999</v>
      </c>
      <c r="AC99" s="101">
        <v>50.021000000000001</v>
      </c>
      <c r="AD99" s="101">
        <v>50.01</v>
      </c>
      <c r="AE99" s="101">
        <v>50.1</v>
      </c>
      <c r="AF99" s="101">
        <v>49.9</v>
      </c>
      <c r="AG99" s="102"/>
      <c r="AH99" s="47">
        <f t="shared" si="24"/>
        <v>50.101999999999997</v>
      </c>
      <c r="AI99" s="48">
        <f t="shared" si="25"/>
        <v>49.9</v>
      </c>
    </row>
    <row r="100" spans="1:37" x14ac:dyDescent="0.25">
      <c r="A100" s="103" t="s">
        <v>104</v>
      </c>
      <c r="B100" s="65">
        <v>130</v>
      </c>
      <c r="C100" s="65">
        <v>130</v>
      </c>
      <c r="D100" s="65">
        <v>130</v>
      </c>
      <c r="E100" s="65">
        <v>130.1</v>
      </c>
      <c r="F100" s="65">
        <v>130.1</v>
      </c>
      <c r="G100" s="65">
        <v>130.1</v>
      </c>
      <c r="H100" s="65">
        <v>129.19999999999999</v>
      </c>
      <c r="I100" s="65">
        <v>129.19999999999999</v>
      </c>
      <c r="J100" s="65">
        <v>129.19999999999999</v>
      </c>
      <c r="K100" s="65">
        <v>128.19999999999999</v>
      </c>
      <c r="L100" s="65">
        <v>127.9</v>
      </c>
      <c r="M100" s="65">
        <v>128</v>
      </c>
      <c r="N100" s="65">
        <v>128.30000000000001</v>
      </c>
      <c r="O100" s="65">
        <v>131.5</v>
      </c>
      <c r="P100" s="65">
        <v>131.5</v>
      </c>
      <c r="Q100" s="65">
        <v>131.5</v>
      </c>
      <c r="R100" s="65">
        <v>131.5</v>
      </c>
      <c r="S100" s="65">
        <v>131.69999999999999</v>
      </c>
      <c r="T100" s="65">
        <v>131.5</v>
      </c>
      <c r="U100" s="65">
        <v>131.69999999999999</v>
      </c>
      <c r="V100" s="65">
        <v>131.69999999999999</v>
      </c>
      <c r="W100" s="65">
        <v>131.69999999999999</v>
      </c>
      <c r="X100" s="65">
        <v>131.19999999999999</v>
      </c>
      <c r="Y100" s="65">
        <v>131.19999999999999</v>
      </c>
      <c r="Z100" s="65">
        <v>131.19999999999999</v>
      </c>
      <c r="AA100" s="65">
        <v>130.6</v>
      </c>
      <c r="AB100" s="65">
        <v>129.4</v>
      </c>
      <c r="AC100" s="65">
        <v>129.4</v>
      </c>
      <c r="AD100" s="65">
        <v>130.69999999999999</v>
      </c>
      <c r="AE100" s="65">
        <v>131.1</v>
      </c>
      <c r="AF100" s="65">
        <v>132.19999999999999</v>
      </c>
      <c r="AG100" s="104"/>
      <c r="AH100" s="47">
        <f t="shared" si="24"/>
        <v>132.19999999999999</v>
      </c>
      <c r="AI100" s="48">
        <f t="shared" si="25"/>
        <v>127.9</v>
      </c>
    </row>
    <row r="101" spans="1:37" x14ac:dyDescent="0.25">
      <c r="A101" s="103" t="s">
        <v>105</v>
      </c>
      <c r="B101" s="65">
        <v>132</v>
      </c>
      <c r="C101" s="65">
        <v>132</v>
      </c>
      <c r="D101" s="65">
        <v>132</v>
      </c>
      <c r="E101" s="65">
        <v>133.1</v>
      </c>
      <c r="F101" s="65">
        <v>133.1</v>
      </c>
      <c r="G101" s="65">
        <v>133</v>
      </c>
      <c r="H101" s="65">
        <v>132.1</v>
      </c>
      <c r="I101" s="65">
        <v>132.1</v>
      </c>
      <c r="J101" s="65">
        <v>132.1</v>
      </c>
      <c r="K101" s="65">
        <v>130.4</v>
      </c>
      <c r="L101" s="65">
        <v>130.19999999999999</v>
      </c>
      <c r="M101" s="65">
        <v>130</v>
      </c>
      <c r="N101" s="65">
        <v>130.69999999999999</v>
      </c>
      <c r="O101" s="65">
        <v>133.4</v>
      </c>
      <c r="P101" s="65">
        <v>133.4</v>
      </c>
      <c r="Q101" s="65">
        <v>133.4</v>
      </c>
      <c r="R101" s="65">
        <v>133.4</v>
      </c>
      <c r="S101" s="65">
        <v>133.4</v>
      </c>
      <c r="T101" s="65">
        <v>133.5</v>
      </c>
      <c r="U101" s="65">
        <v>133.5</v>
      </c>
      <c r="V101" s="65">
        <v>133.5</v>
      </c>
      <c r="W101" s="65">
        <v>133.5</v>
      </c>
      <c r="X101" s="65">
        <v>133.30000000000001</v>
      </c>
      <c r="Y101" s="65">
        <v>133.30000000000001</v>
      </c>
      <c r="Z101" s="65">
        <v>133.30000000000001</v>
      </c>
      <c r="AA101" s="65">
        <v>132.4</v>
      </c>
      <c r="AB101" s="65">
        <v>131.9</v>
      </c>
      <c r="AC101" s="65">
        <v>131.80000000000001</v>
      </c>
      <c r="AD101" s="65">
        <v>133.30000000000001</v>
      </c>
      <c r="AE101" s="65">
        <v>134</v>
      </c>
      <c r="AF101" s="65">
        <v>134.9</v>
      </c>
      <c r="AG101" s="104"/>
      <c r="AH101" s="47">
        <f t="shared" si="24"/>
        <v>134.9</v>
      </c>
      <c r="AI101" s="48">
        <f t="shared" si="25"/>
        <v>130</v>
      </c>
    </row>
    <row r="102" spans="1:37" x14ac:dyDescent="0.25">
      <c r="A102" s="103" t="s">
        <v>106</v>
      </c>
      <c r="B102" s="65">
        <v>131.5</v>
      </c>
      <c r="C102" s="65">
        <v>131.5</v>
      </c>
      <c r="D102" s="65">
        <v>131.5</v>
      </c>
      <c r="E102" s="65">
        <v>131</v>
      </c>
      <c r="F102" s="65">
        <v>131</v>
      </c>
      <c r="G102" s="65">
        <v>132.80000000000001</v>
      </c>
      <c r="H102" s="65">
        <v>131.6</v>
      </c>
      <c r="I102" s="65">
        <v>131.6</v>
      </c>
      <c r="J102" s="65">
        <v>131.6</v>
      </c>
      <c r="K102" s="65">
        <v>129.19999999999999</v>
      </c>
      <c r="L102" s="65">
        <v>126.5</v>
      </c>
      <c r="M102" s="65">
        <v>127</v>
      </c>
      <c r="N102" s="65">
        <v>126.4</v>
      </c>
      <c r="O102" s="65">
        <v>130.6</v>
      </c>
      <c r="P102" s="65">
        <v>130.6</v>
      </c>
      <c r="Q102" s="65">
        <v>130.6</v>
      </c>
      <c r="R102" s="65">
        <v>130.6</v>
      </c>
      <c r="S102" s="65">
        <v>130.6</v>
      </c>
      <c r="T102" s="65">
        <v>130.19999999999999</v>
      </c>
      <c r="U102" s="65">
        <v>130.4</v>
      </c>
      <c r="V102" s="65">
        <v>130.4</v>
      </c>
      <c r="W102" s="65">
        <v>130.4</v>
      </c>
      <c r="X102" s="65">
        <v>130</v>
      </c>
      <c r="Y102" s="65">
        <v>130</v>
      </c>
      <c r="Z102" s="65">
        <v>130</v>
      </c>
      <c r="AA102" s="65">
        <v>129.19999999999999</v>
      </c>
      <c r="AB102" s="65">
        <v>129.69999999999999</v>
      </c>
      <c r="AC102" s="65">
        <v>128</v>
      </c>
      <c r="AD102" s="65">
        <v>129.9</v>
      </c>
      <c r="AE102" s="65">
        <v>132.6</v>
      </c>
      <c r="AF102" s="65">
        <v>131.80000000000001</v>
      </c>
      <c r="AG102" s="104"/>
      <c r="AH102" s="47">
        <f t="shared" si="24"/>
        <v>132.80000000000001</v>
      </c>
      <c r="AI102" s="48">
        <f t="shared" si="25"/>
        <v>126.4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24"/>
        <v>0</v>
      </c>
      <c r="AI103" s="48">
        <f t="shared" si="25"/>
        <v>0</v>
      </c>
    </row>
    <row r="104" spans="1:37" x14ac:dyDescent="0.25">
      <c r="A104" s="105" t="s">
        <v>108</v>
      </c>
      <c r="B104" s="106">
        <v>130</v>
      </c>
      <c r="C104" s="106">
        <v>130</v>
      </c>
      <c r="D104" s="106">
        <v>130</v>
      </c>
      <c r="E104" s="106">
        <v>130.69999999999999</v>
      </c>
      <c r="F104" s="106">
        <v>130.69999999999999</v>
      </c>
      <c r="G104" s="106">
        <v>132.4</v>
      </c>
      <c r="H104" s="106">
        <v>132.4</v>
      </c>
      <c r="I104" s="106">
        <v>132.4</v>
      </c>
      <c r="J104" s="106">
        <v>132.4</v>
      </c>
      <c r="K104" s="106">
        <v>133.5</v>
      </c>
      <c r="L104" s="106">
        <v>135.30000000000001</v>
      </c>
      <c r="M104" s="106">
        <v>135</v>
      </c>
      <c r="N104" s="106">
        <v>131.19999999999999</v>
      </c>
      <c r="O104" s="106">
        <v>138.19999999999999</v>
      </c>
      <c r="P104" s="106">
        <v>138.19999999999999</v>
      </c>
      <c r="Q104" s="106">
        <v>138.19999999999999</v>
      </c>
      <c r="R104" s="106">
        <v>138.19999999999999</v>
      </c>
      <c r="S104" s="106">
        <v>138.19999999999999</v>
      </c>
      <c r="T104" s="106">
        <v>137.80000000000001</v>
      </c>
      <c r="U104" s="106">
        <v>137.6</v>
      </c>
      <c r="V104" s="106">
        <v>137.6</v>
      </c>
      <c r="W104" s="106">
        <v>137.6</v>
      </c>
      <c r="X104" s="106">
        <v>134</v>
      </c>
      <c r="Y104" s="106">
        <v>134</v>
      </c>
      <c r="Z104" s="106">
        <v>134</v>
      </c>
      <c r="AA104" s="106">
        <v>134.5</v>
      </c>
      <c r="AB104" s="106">
        <v>135.5</v>
      </c>
      <c r="AC104" s="106">
        <v>130.6</v>
      </c>
      <c r="AD104" s="106">
        <v>137.1</v>
      </c>
      <c r="AE104" s="106">
        <v>130.19999999999999</v>
      </c>
      <c r="AF104" s="106">
        <v>136</v>
      </c>
      <c r="AG104" s="107"/>
      <c r="AH104" s="47">
        <f t="shared" si="24"/>
        <v>138.19999999999999</v>
      </c>
      <c r="AI104" s="48">
        <f t="shared" si="25"/>
        <v>130</v>
      </c>
    </row>
    <row r="105" spans="1:37" x14ac:dyDescent="0.25">
      <c r="A105" s="103" t="s">
        <v>109</v>
      </c>
      <c r="B105" s="65">
        <v>130</v>
      </c>
      <c r="C105" s="65">
        <v>130</v>
      </c>
      <c r="D105" s="65">
        <v>130</v>
      </c>
      <c r="E105" s="65">
        <v>131.19999999999999</v>
      </c>
      <c r="F105" s="65">
        <v>135</v>
      </c>
      <c r="G105" s="65">
        <v>137.1</v>
      </c>
      <c r="H105" s="65">
        <v>137.1</v>
      </c>
      <c r="I105" s="65">
        <v>137.1</v>
      </c>
      <c r="J105" s="65">
        <v>137.1</v>
      </c>
      <c r="K105" s="65">
        <v>126</v>
      </c>
      <c r="L105" s="65">
        <v>130.1</v>
      </c>
      <c r="M105" s="65">
        <v>129</v>
      </c>
      <c r="N105" s="65">
        <v>127.8</v>
      </c>
      <c r="O105" s="65">
        <v>130.19999999999999</v>
      </c>
      <c r="P105" s="65">
        <v>130.19999999999999</v>
      </c>
      <c r="Q105" s="65">
        <v>130.19999999999999</v>
      </c>
      <c r="R105" s="65">
        <v>130.19999999999999</v>
      </c>
      <c r="S105" s="65">
        <v>130.19999999999999</v>
      </c>
      <c r="T105" s="65">
        <v>133</v>
      </c>
      <c r="U105" s="65">
        <v>132.5</v>
      </c>
      <c r="V105" s="65">
        <v>132.5</v>
      </c>
      <c r="W105" s="65">
        <v>132.5</v>
      </c>
      <c r="X105" s="65">
        <v>134</v>
      </c>
      <c r="Y105" s="65">
        <v>134</v>
      </c>
      <c r="Z105" s="65">
        <v>134</v>
      </c>
      <c r="AA105" s="65">
        <v>129</v>
      </c>
      <c r="AB105" s="65">
        <v>132.1</v>
      </c>
      <c r="AC105" s="65">
        <v>133</v>
      </c>
      <c r="AD105" s="65">
        <v>133.6</v>
      </c>
      <c r="AE105" s="65">
        <v>134.80000000000001</v>
      </c>
      <c r="AF105" s="65">
        <v>133.80000000000001</v>
      </c>
      <c r="AG105" s="104"/>
      <c r="AH105" s="47">
        <f t="shared" si="24"/>
        <v>137.1</v>
      </c>
      <c r="AI105" s="48">
        <f t="shared" si="25"/>
        <v>126</v>
      </c>
    </row>
    <row r="106" spans="1:37" ht="15.75" thickBot="1" x14ac:dyDescent="0.3">
      <c r="A106" s="103" t="s">
        <v>110</v>
      </c>
      <c r="B106" s="92">
        <v>66.400000000000006</v>
      </c>
      <c r="C106" s="92">
        <v>66.400000000000006</v>
      </c>
      <c r="D106" s="92">
        <v>66.400000000000006</v>
      </c>
      <c r="E106" s="92">
        <v>66.7</v>
      </c>
      <c r="F106" s="92">
        <v>66.8</v>
      </c>
      <c r="G106" s="92">
        <v>66.7</v>
      </c>
      <c r="H106" s="92">
        <v>65.900000000000006</v>
      </c>
      <c r="I106" s="92">
        <v>65.900000000000006</v>
      </c>
      <c r="J106" s="92">
        <v>65.900000000000006</v>
      </c>
      <c r="K106" s="92">
        <v>65.3</v>
      </c>
      <c r="L106" s="92">
        <v>65.099999999999994</v>
      </c>
      <c r="M106" s="92">
        <v>65.3</v>
      </c>
      <c r="N106" s="92">
        <v>65.599999999999994</v>
      </c>
      <c r="O106" s="92">
        <v>66.5</v>
      </c>
      <c r="P106" s="92">
        <v>66.5</v>
      </c>
      <c r="Q106" s="92">
        <v>66.5</v>
      </c>
      <c r="R106" s="92">
        <v>66.5</v>
      </c>
      <c r="S106" s="92">
        <v>66.5</v>
      </c>
      <c r="T106" s="92">
        <v>67</v>
      </c>
      <c r="U106" s="92">
        <v>66.7</v>
      </c>
      <c r="V106" s="92">
        <v>66.7</v>
      </c>
      <c r="W106" s="92">
        <v>66.7</v>
      </c>
      <c r="X106" s="92">
        <v>66.599999999999994</v>
      </c>
      <c r="Y106" s="92">
        <v>66.599999999999994</v>
      </c>
      <c r="Z106" s="92">
        <v>66.599999999999994</v>
      </c>
      <c r="AA106" s="92">
        <v>66.3</v>
      </c>
      <c r="AB106" s="92">
        <v>66.2</v>
      </c>
      <c r="AC106" s="92">
        <v>66.099999999999994</v>
      </c>
      <c r="AD106" s="92">
        <v>66.5</v>
      </c>
      <c r="AE106" s="92">
        <v>66.599999999999994</v>
      </c>
      <c r="AF106" s="92">
        <v>67.400000000000006</v>
      </c>
      <c r="AG106" s="108"/>
      <c r="AH106" s="47">
        <f t="shared" si="24"/>
        <v>67.400000000000006</v>
      </c>
      <c r="AI106" s="48">
        <f t="shared" si="25"/>
        <v>65.099999999999994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24"/>
        <v>0</v>
      </c>
      <c r="AI107" s="48">
        <f t="shared" si="25"/>
        <v>0</v>
      </c>
    </row>
    <row r="108" spans="1:37" ht="15.75" thickBot="1" x14ac:dyDescent="0.3">
      <c r="A108" s="110" t="s">
        <v>112</v>
      </c>
      <c r="B108" s="111">
        <f t="shared" ref="B108:AF108" si="49">SUM(B18,B24,B27:B28,B56,B58:B59,B61,B63,B109:B113,B135,B141,B147,B156,B158,B170,B177,B180:B181,B188,B190,B192,B196:B198,B200:B202,B207,B213:B214,B216:B218,B226,B231)</f>
        <v>133.5</v>
      </c>
      <c r="C108" s="111">
        <f t="shared" ref="C108:E108" si="50">SUM(C18,C24,C27:C28,C56,C58:C59,C61,C63,C109:C113,C135,C141,C147,C156,C158,C170,C177,C180:C181,C188,C190,C192,C196:C198,C200:C202,C207,C213:C214,C216:C218,C226,C231)</f>
        <v>134.44</v>
      </c>
      <c r="D108" s="111">
        <f t="shared" si="50"/>
        <v>134.44</v>
      </c>
      <c r="E108" s="111">
        <f t="shared" si="50"/>
        <v>114.34</v>
      </c>
      <c r="F108" s="111">
        <f t="shared" si="49"/>
        <v>126.14</v>
      </c>
      <c r="G108" s="111">
        <f t="shared" si="49"/>
        <v>150.94</v>
      </c>
      <c r="H108" s="111">
        <f t="shared" ref="H108:L108" si="51">SUM(H18,H24,H27:H28,H56,H58:H59,H61,H63,H109:H113,H135,H141,H147,H156,H158,H170,H177,H180:H181,H188,H190,H192,H196:H198,H200:H202,H207,H213:H214,H216:H218,H226,H231)</f>
        <v>155.63999999999999</v>
      </c>
      <c r="I108" s="111">
        <f t="shared" si="51"/>
        <v>155.63999999999999</v>
      </c>
      <c r="J108" s="111">
        <f t="shared" si="51"/>
        <v>155.63999999999999</v>
      </c>
      <c r="K108" s="111">
        <f t="shared" si="51"/>
        <v>246.73999999999998</v>
      </c>
      <c r="L108" s="111">
        <f t="shared" si="51"/>
        <v>194.04000000000002</v>
      </c>
      <c r="M108" s="111">
        <f t="shared" si="49"/>
        <v>263.73999999999995</v>
      </c>
      <c r="N108" s="111">
        <f t="shared" si="49"/>
        <v>256.34000000000003</v>
      </c>
      <c r="O108" s="111">
        <f t="shared" si="49"/>
        <v>205.14</v>
      </c>
      <c r="P108" s="111">
        <v>42</v>
      </c>
      <c r="Q108" s="111">
        <f t="shared" si="49"/>
        <v>168.09999999999997</v>
      </c>
      <c r="R108" s="111">
        <f t="shared" si="49"/>
        <v>168.09999999999997</v>
      </c>
      <c r="S108" s="111">
        <f t="shared" si="49"/>
        <v>161.39999999999998</v>
      </c>
      <c r="T108" s="111">
        <f t="shared" si="49"/>
        <v>172.2</v>
      </c>
      <c r="U108" s="111">
        <f t="shared" si="49"/>
        <v>176.8</v>
      </c>
      <c r="V108" s="111">
        <f t="shared" si="49"/>
        <v>176.8</v>
      </c>
      <c r="W108" s="111">
        <f t="shared" si="49"/>
        <v>176.8</v>
      </c>
      <c r="X108" s="111">
        <f t="shared" si="49"/>
        <v>241.2</v>
      </c>
      <c r="Y108" s="111">
        <f t="shared" si="49"/>
        <v>241.2</v>
      </c>
      <c r="Z108" s="111">
        <f t="shared" si="49"/>
        <v>241.2</v>
      </c>
      <c r="AA108" s="111">
        <f t="shared" si="49"/>
        <v>299.60000000000002</v>
      </c>
      <c r="AB108" s="111">
        <f t="shared" si="49"/>
        <v>256.5</v>
      </c>
      <c r="AC108" s="111">
        <f t="shared" si="49"/>
        <v>251.10000000000002</v>
      </c>
      <c r="AD108" s="111">
        <f t="shared" si="49"/>
        <v>215.6</v>
      </c>
      <c r="AE108" s="111">
        <f t="shared" si="49"/>
        <v>151.79999999999998</v>
      </c>
      <c r="AF108" s="111">
        <f t="shared" si="49"/>
        <v>127.6</v>
      </c>
      <c r="AG108" s="112"/>
      <c r="AH108" s="47">
        <f t="shared" si="24"/>
        <v>299.60000000000002</v>
      </c>
      <c r="AI108" s="48">
        <f t="shared" si="25"/>
        <v>42</v>
      </c>
    </row>
    <row r="109" spans="1:37" x14ac:dyDescent="0.25">
      <c r="A109" s="100" t="s">
        <v>113</v>
      </c>
      <c r="B109" s="113">
        <v>-25</v>
      </c>
      <c r="C109" s="113">
        <v>-25</v>
      </c>
      <c r="D109" s="113">
        <v>-25</v>
      </c>
      <c r="E109" s="113">
        <v>-29.5</v>
      </c>
      <c r="F109" s="113">
        <v>-27</v>
      </c>
      <c r="G109" s="113">
        <v>-27</v>
      </c>
      <c r="H109" s="113">
        <v>-25</v>
      </c>
      <c r="I109" s="113">
        <v>-25</v>
      </c>
      <c r="J109" s="113">
        <v>-25</v>
      </c>
      <c r="K109" s="113">
        <v>9.6</v>
      </c>
      <c r="L109" s="113">
        <v>-13.5</v>
      </c>
      <c r="M109" s="113">
        <v>15.1</v>
      </c>
      <c r="N109" s="113">
        <v>29.4</v>
      </c>
      <c r="O109" s="113">
        <v>9</v>
      </c>
      <c r="P109" s="113">
        <v>8.5</v>
      </c>
      <c r="Q109" s="113">
        <v>3.2</v>
      </c>
      <c r="R109" s="113">
        <v>3.2</v>
      </c>
      <c r="S109" s="113">
        <v>7.4</v>
      </c>
      <c r="T109" s="113">
        <v>2.7</v>
      </c>
      <c r="U109" s="113">
        <v>0.7</v>
      </c>
      <c r="V109" s="113">
        <v>0.7</v>
      </c>
      <c r="W109" s="113">
        <v>0.7</v>
      </c>
      <c r="X109" s="113">
        <v>40</v>
      </c>
      <c r="Y109" s="113">
        <v>40</v>
      </c>
      <c r="Z109" s="113">
        <v>40</v>
      </c>
      <c r="AA109" s="113">
        <v>25.2</v>
      </c>
      <c r="AB109" s="113">
        <v>20.8</v>
      </c>
      <c r="AC109" s="113">
        <v>22.8</v>
      </c>
      <c r="AD109" s="113">
        <v>20.7</v>
      </c>
      <c r="AE109" s="113">
        <v>1.3</v>
      </c>
      <c r="AF109" s="113">
        <v>0</v>
      </c>
      <c r="AG109" s="114">
        <v>75</v>
      </c>
      <c r="AH109" s="47">
        <f t="shared" si="24"/>
        <v>40</v>
      </c>
      <c r="AI109" s="48">
        <f t="shared" si="25"/>
        <v>-29.5</v>
      </c>
    </row>
    <row r="110" spans="1:37" x14ac:dyDescent="0.25">
      <c r="A110" s="103" t="s">
        <v>114</v>
      </c>
      <c r="B110" s="115">
        <v>-33</v>
      </c>
      <c r="C110" s="115">
        <v>-33</v>
      </c>
      <c r="D110" s="115">
        <v>-33</v>
      </c>
      <c r="E110" s="115">
        <v>-37.9</v>
      </c>
      <c r="F110" s="115">
        <v>-34.5</v>
      </c>
      <c r="G110" s="115">
        <v>-23</v>
      </c>
      <c r="H110" s="115">
        <v>-26</v>
      </c>
      <c r="I110" s="115">
        <v>-26</v>
      </c>
      <c r="J110" s="115">
        <v>-26</v>
      </c>
      <c r="K110" s="115">
        <v>8.6999999999999993</v>
      </c>
      <c r="L110" s="115">
        <v>-13.6</v>
      </c>
      <c r="M110" s="115">
        <v>15.6</v>
      </c>
      <c r="N110" s="115">
        <v>35.9</v>
      </c>
      <c r="O110" s="115">
        <v>13.2</v>
      </c>
      <c r="P110" s="115">
        <v>14.2</v>
      </c>
      <c r="Q110" s="115">
        <v>8.3000000000000007</v>
      </c>
      <c r="R110" s="115">
        <v>8.3000000000000007</v>
      </c>
      <c r="S110" s="115">
        <v>14.1</v>
      </c>
      <c r="T110" s="115">
        <v>7</v>
      </c>
      <c r="U110" s="115">
        <v>4.9000000000000004</v>
      </c>
      <c r="V110" s="115">
        <v>4.9000000000000004</v>
      </c>
      <c r="W110" s="115">
        <v>4.9000000000000004</v>
      </c>
      <c r="X110" s="115">
        <v>50</v>
      </c>
      <c r="Y110" s="115">
        <v>50</v>
      </c>
      <c r="Z110" s="115">
        <v>50</v>
      </c>
      <c r="AA110" s="115">
        <v>28.2</v>
      </c>
      <c r="AB110" s="115">
        <v>23</v>
      </c>
      <c r="AC110" s="115">
        <v>25.6</v>
      </c>
      <c r="AD110" s="115">
        <v>25.5</v>
      </c>
      <c r="AE110" s="115">
        <v>1.1000000000000001</v>
      </c>
      <c r="AF110" s="115">
        <v>2.7</v>
      </c>
      <c r="AG110" s="114">
        <v>240</v>
      </c>
      <c r="AH110" s="47">
        <f t="shared" si="24"/>
        <v>50</v>
      </c>
      <c r="AI110" s="48">
        <f t="shared" si="25"/>
        <v>-37.9</v>
      </c>
    </row>
    <row r="111" spans="1:37" x14ac:dyDescent="0.25">
      <c r="A111" s="103" t="s">
        <v>115</v>
      </c>
      <c r="B111" s="115">
        <v>4</v>
      </c>
      <c r="C111" s="115">
        <v>4</v>
      </c>
      <c r="D111" s="115">
        <v>4</v>
      </c>
      <c r="E111" s="115">
        <v>0</v>
      </c>
      <c r="F111" s="115">
        <f>1+1.2</f>
        <v>2.2000000000000002</v>
      </c>
      <c r="G111" s="115">
        <v>8</v>
      </c>
      <c r="H111" s="115">
        <f>8.1+8.6</f>
        <v>16.7</v>
      </c>
      <c r="I111" s="115">
        <f t="shared" ref="I111:J111" si="52">8.1+8.6</f>
        <v>16.7</v>
      </c>
      <c r="J111" s="115">
        <f t="shared" si="52"/>
        <v>16.7</v>
      </c>
      <c r="K111" s="115">
        <f>12.4+13</f>
        <v>25.4</v>
      </c>
      <c r="L111" s="115">
        <f>10.7+11.2</f>
        <v>21.9</v>
      </c>
      <c r="M111" s="115">
        <v>28</v>
      </c>
      <c r="N111" s="115">
        <v>-2.1</v>
      </c>
      <c r="O111" s="115">
        <v>0</v>
      </c>
      <c r="P111" s="115">
        <v>-5.3</v>
      </c>
      <c r="Q111" s="115">
        <v>-7.4</v>
      </c>
      <c r="R111" s="115">
        <v>-7.4</v>
      </c>
      <c r="S111" s="115">
        <v>-16</v>
      </c>
      <c r="T111" s="115">
        <v>-8</v>
      </c>
      <c r="U111" s="115">
        <v>-4</v>
      </c>
      <c r="V111" s="115">
        <v>-4</v>
      </c>
      <c r="W111" s="115">
        <v>-4</v>
      </c>
      <c r="X111" s="115">
        <v>-3</v>
      </c>
      <c r="Y111" s="115">
        <v>-3</v>
      </c>
      <c r="Z111" s="115">
        <v>-3</v>
      </c>
      <c r="AA111" s="115">
        <v>40</v>
      </c>
      <c r="AB111" s="115">
        <v>18.899999999999999</v>
      </c>
      <c r="AC111" s="115">
        <v>13.8</v>
      </c>
      <c r="AD111" s="115">
        <v>2.2000000000000002</v>
      </c>
      <c r="AE111" s="115">
        <v>-6.5</v>
      </c>
      <c r="AF111" s="115">
        <f>-7.9-7.9</f>
        <v>-15.8</v>
      </c>
      <c r="AG111" s="114">
        <v>240</v>
      </c>
      <c r="AH111" s="47">
        <f t="shared" si="24"/>
        <v>40</v>
      </c>
      <c r="AI111" s="48">
        <f t="shared" si="25"/>
        <v>-16</v>
      </c>
    </row>
    <row r="112" spans="1:37" x14ac:dyDescent="0.25">
      <c r="A112" s="103" t="s">
        <v>116</v>
      </c>
      <c r="B112" s="115">
        <v>0</v>
      </c>
      <c r="C112" s="115">
        <v>0</v>
      </c>
      <c r="D112" s="115">
        <v>0</v>
      </c>
      <c r="E112" s="115">
        <v>-1.5</v>
      </c>
      <c r="F112" s="115">
        <v>0</v>
      </c>
      <c r="G112" s="115">
        <v>6.5</v>
      </c>
      <c r="H112" s="115">
        <v>3.5</v>
      </c>
      <c r="I112" s="115">
        <v>3.5</v>
      </c>
      <c r="J112" s="115">
        <v>3.5</v>
      </c>
      <c r="K112" s="115">
        <v>12.7</v>
      </c>
      <c r="L112" s="115">
        <v>11.7</v>
      </c>
      <c r="M112" s="115">
        <v>15.2</v>
      </c>
      <c r="N112" s="115">
        <v>38</v>
      </c>
      <c r="O112" s="115">
        <v>30.3</v>
      </c>
      <c r="P112" s="115">
        <v>31.5</v>
      </c>
      <c r="Q112" s="115">
        <v>16.600000000000001</v>
      </c>
      <c r="R112" s="115">
        <v>16.600000000000001</v>
      </c>
      <c r="S112" s="115">
        <v>28.2</v>
      </c>
      <c r="T112" s="115">
        <v>32</v>
      </c>
      <c r="U112" s="115">
        <v>38</v>
      </c>
      <c r="V112" s="115">
        <v>38</v>
      </c>
      <c r="W112" s="115">
        <v>38</v>
      </c>
      <c r="X112" s="115">
        <v>45</v>
      </c>
      <c r="Y112" s="115">
        <v>45</v>
      </c>
      <c r="Z112" s="115">
        <v>45</v>
      </c>
      <c r="AA112" s="115">
        <v>34.700000000000003</v>
      </c>
      <c r="AB112" s="115">
        <v>12.7</v>
      </c>
      <c r="AC112" s="115">
        <v>12</v>
      </c>
      <c r="AD112" s="115">
        <v>9.1999999999999993</v>
      </c>
      <c r="AE112" s="115">
        <v>3.2</v>
      </c>
      <c r="AF112" s="115">
        <v>1.7</v>
      </c>
      <c r="AG112" s="114">
        <v>60</v>
      </c>
      <c r="AH112" s="47">
        <f t="shared" si="24"/>
        <v>45</v>
      </c>
      <c r="AI112" s="48">
        <f t="shared" si="25"/>
        <v>-1.5</v>
      </c>
    </row>
    <row r="113" spans="1:37" x14ac:dyDescent="0.25">
      <c r="A113" s="116" t="s">
        <v>117</v>
      </c>
      <c r="B113" s="117">
        <v>90</v>
      </c>
      <c r="C113" s="117">
        <v>90</v>
      </c>
      <c r="D113" s="117">
        <v>90</v>
      </c>
      <c r="E113" s="117">
        <v>84.8</v>
      </c>
      <c r="F113" s="117">
        <v>87</v>
      </c>
      <c r="G113" s="117">
        <v>88</v>
      </c>
      <c r="H113" s="117">
        <v>88</v>
      </c>
      <c r="I113" s="117">
        <v>88</v>
      </c>
      <c r="J113" s="117">
        <v>88</v>
      </c>
      <c r="K113" s="117">
        <v>91.9</v>
      </c>
      <c r="L113" s="117">
        <v>89.1</v>
      </c>
      <c r="M113" s="117">
        <v>91.2</v>
      </c>
      <c r="N113" s="117">
        <v>56.5</v>
      </c>
      <c r="O113" s="117">
        <v>56</v>
      </c>
      <c r="P113" s="117">
        <v>50.1</v>
      </c>
      <c r="Q113" s="117">
        <v>51.7</v>
      </c>
      <c r="R113" s="117">
        <v>51.7</v>
      </c>
      <c r="S113" s="117">
        <v>32</v>
      </c>
      <c r="T113" s="117">
        <v>40.299999999999997</v>
      </c>
      <c r="U113" s="117">
        <v>39</v>
      </c>
      <c r="V113" s="117">
        <v>39</v>
      </c>
      <c r="W113" s="117">
        <v>39</v>
      </c>
      <c r="X113" s="117">
        <v>11</v>
      </c>
      <c r="Y113" s="117">
        <v>11</v>
      </c>
      <c r="Z113" s="117">
        <v>11</v>
      </c>
      <c r="AA113" s="117">
        <v>73.3</v>
      </c>
      <c r="AB113" s="117">
        <v>82.9</v>
      </c>
      <c r="AC113" s="117">
        <v>78.7</v>
      </c>
      <c r="AD113" s="117">
        <v>63.4</v>
      </c>
      <c r="AE113" s="117">
        <v>58.3</v>
      </c>
      <c r="AF113" s="117">
        <v>44.4</v>
      </c>
      <c r="AG113" s="118">
        <v>120</v>
      </c>
      <c r="AH113" s="47">
        <f t="shared" si="24"/>
        <v>91.9</v>
      </c>
      <c r="AI113" s="48">
        <f t="shared" si="25"/>
        <v>11</v>
      </c>
    </row>
    <row r="114" spans="1:37" x14ac:dyDescent="0.25">
      <c r="A114" s="116" t="s">
        <v>118</v>
      </c>
      <c r="B114" s="117">
        <v>77</v>
      </c>
      <c r="C114" s="117">
        <v>77</v>
      </c>
      <c r="D114" s="117">
        <v>77</v>
      </c>
      <c r="E114" s="117">
        <v>69</v>
      </c>
      <c r="F114" s="117">
        <v>75.3</v>
      </c>
      <c r="G114" s="117">
        <v>75.3</v>
      </c>
      <c r="H114" s="117">
        <v>81.8</v>
      </c>
      <c r="I114" s="117">
        <v>81.8</v>
      </c>
      <c r="J114" s="117">
        <v>81.8</v>
      </c>
      <c r="K114" s="117">
        <v>67.099999999999994</v>
      </c>
      <c r="L114" s="117">
        <v>62.6</v>
      </c>
      <c r="M114" s="117">
        <v>65.98</v>
      </c>
      <c r="N114" s="117">
        <v>28.1</v>
      </c>
      <c r="O114" s="117">
        <v>32.5</v>
      </c>
      <c r="P114" s="117">
        <v>28.7</v>
      </c>
      <c r="Q114" s="117">
        <v>30</v>
      </c>
      <c r="R114" s="117">
        <v>30</v>
      </c>
      <c r="S114" s="117">
        <v>15</v>
      </c>
      <c r="T114" s="117">
        <v>20.2</v>
      </c>
      <c r="U114" s="117">
        <v>21</v>
      </c>
      <c r="V114" s="117">
        <v>21</v>
      </c>
      <c r="W114" s="117">
        <v>21</v>
      </c>
      <c r="X114" s="117">
        <v>-11</v>
      </c>
      <c r="Y114" s="117">
        <v>-11</v>
      </c>
      <c r="Z114" s="117">
        <v>-11</v>
      </c>
      <c r="AA114" s="117">
        <v>47</v>
      </c>
      <c r="AB114" s="117">
        <v>60</v>
      </c>
      <c r="AC114" s="117">
        <v>50.2</v>
      </c>
      <c r="AD114" s="117">
        <v>45</v>
      </c>
      <c r="AE114" s="117">
        <v>45.8</v>
      </c>
      <c r="AF114" s="117">
        <v>36.5</v>
      </c>
      <c r="AG114" s="118"/>
      <c r="AH114" s="47">
        <f t="shared" si="24"/>
        <v>81.8</v>
      </c>
      <c r="AI114" s="48">
        <f t="shared" si="25"/>
        <v>-11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>
        <v>2.9</v>
      </c>
      <c r="N115" s="117"/>
      <c r="O115" s="117"/>
      <c r="P115" s="117">
        <v>52.4</v>
      </c>
      <c r="Q115" s="117">
        <v>60.3</v>
      </c>
      <c r="R115" s="117">
        <v>60.3</v>
      </c>
      <c r="S115" s="117">
        <v>64</v>
      </c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>
        <v>15</v>
      </c>
      <c r="AE115" s="117">
        <v>25</v>
      </c>
      <c r="AF115" s="117"/>
      <c r="AG115" s="119"/>
      <c r="AH115" s="47">
        <f t="shared" si="24"/>
        <v>64</v>
      </c>
      <c r="AI115" s="48">
        <f t="shared" si="25"/>
        <v>2.9</v>
      </c>
    </row>
    <row r="116" spans="1:37" x14ac:dyDescent="0.25">
      <c r="A116" s="120" t="s">
        <v>120</v>
      </c>
      <c r="B116" s="106">
        <v>1</v>
      </c>
      <c r="C116" s="106">
        <v>1</v>
      </c>
      <c r="D116" s="106">
        <v>1</v>
      </c>
      <c r="E116" s="106">
        <v>-15.5</v>
      </c>
      <c r="F116" s="106">
        <v>-11</v>
      </c>
      <c r="G116" s="106">
        <v>3.4</v>
      </c>
      <c r="H116" s="106">
        <v>-0.8</v>
      </c>
      <c r="I116" s="106">
        <v>-0.8</v>
      </c>
      <c r="J116" s="106">
        <v>-0.8</v>
      </c>
      <c r="K116" s="106">
        <v>-40.200000000000003</v>
      </c>
      <c r="L116" s="106">
        <v>-48.9</v>
      </c>
      <c r="M116" s="106">
        <v>-45.7</v>
      </c>
      <c r="N116" s="106">
        <v>-38.1</v>
      </c>
      <c r="O116" s="106">
        <v>-30.5</v>
      </c>
      <c r="P116" s="106">
        <v>-26.1</v>
      </c>
      <c r="Q116" s="106">
        <v>-24.3</v>
      </c>
      <c r="R116" s="106">
        <v>-24.3</v>
      </c>
      <c r="S116" s="106">
        <v>-25</v>
      </c>
      <c r="T116" s="106">
        <v>-20</v>
      </c>
      <c r="U116" s="106">
        <v>-30</v>
      </c>
      <c r="V116" s="106">
        <v>-30</v>
      </c>
      <c r="W116" s="106">
        <v>-30</v>
      </c>
      <c r="X116" s="106">
        <v>-61</v>
      </c>
      <c r="Y116" s="106">
        <v>-61</v>
      </c>
      <c r="Z116" s="106">
        <v>-61</v>
      </c>
      <c r="AA116" s="106">
        <v>-53</v>
      </c>
      <c r="AB116" s="106">
        <v>36.1</v>
      </c>
      <c r="AC116" s="106">
        <v>31.1</v>
      </c>
      <c r="AD116" s="106">
        <v>-22</v>
      </c>
      <c r="AE116" s="106">
        <v>-4</v>
      </c>
      <c r="AF116" s="106">
        <v>0</v>
      </c>
      <c r="AG116" s="119"/>
      <c r="AH116" s="47">
        <f t="shared" si="24"/>
        <v>36.1</v>
      </c>
      <c r="AI116" s="48">
        <f t="shared" si="25"/>
        <v>-61</v>
      </c>
    </row>
    <row r="117" spans="1:37" ht="15.75" thickBot="1" x14ac:dyDescent="0.3">
      <c r="A117" s="120" t="s">
        <v>121</v>
      </c>
      <c r="B117" s="106">
        <v>71</v>
      </c>
      <c r="C117" s="106">
        <v>71</v>
      </c>
      <c r="D117" s="106">
        <v>71</v>
      </c>
      <c r="E117" s="106">
        <v>57.5</v>
      </c>
      <c r="F117" s="106">
        <v>51.5</v>
      </c>
      <c r="G117" s="106">
        <v>51.5</v>
      </c>
      <c r="H117" s="106">
        <v>56.7</v>
      </c>
      <c r="I117" s="106">
        <v>56.7</v>
      </c>
      <c r="J117" s="106">
        <v>56.7</v>
      </c>
      <c r="K117" s="106">
        <v>73.2</v>
      </c>
      <c r="L117" s="106">
        <v>80.8</v>
      </c>
      <c r="M117" s="106">
        <v>82.6</v>
      </c>
      <c r="N117" s="106">
        <v>77.7</v>
      </c>
      <c r="O117" s="106">
        <v>55.9</v>
      </c>
      <c r="P117" s="106">
        <v>59.3</v>
      </c>
      <c r="Q117" s="106">
        <v>61.2</v>
      </c>
      <c r="R117" s="106">
        <v>61.2</v>
      </c>
      <c r="S117" s="106">
        <v>62</v>
      </c>
      <c r="T117" s="106">
        <v>56</v>
      </c>
      <c r="U117" s="106">
        <v>49</v>
      </c>
      <c r="V117" s="106">
        <v>49</v>
      </c>
      <c r="W117" s="106">
        <v>49</v>
      </c>
      <c r="X117" s="106">
        <v>58</v>
      </c>
      <c r="Y117" s="106">
        <v>58</v>
      </c>
      <c r="Z117" s="106">
        <v>58</v>
      </c>
      <c r="AA117" s="106">
        <v>66</v>
      </c>
      <c r="AB117" s="106">
        <v>76.599999999999994</v>
      </c>
      <c r="AC117" s="106"/>
      <c r="AD117" s="106">
        <v>77.099999999999994</v>
      </c>
      <c r="AE117" s="106">
        <v>64.8</v>
      </c>
      <c r="AF117" s="106">
        <v>65</v>
      </c>
      <c r="AG117" s="119"/>
      <c r="AH117" s="47">
        <f t="shared" si="24"/>
        <v>82.6</v>
      </c>
      <c r="AI117" s="48">
        <f t="shared" si="25"/>
        <v>49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53">SUM(B119:B223)</f>
        <v>0</v>
      </c>
      <c r="C224" s="136">
        <f t="shared" si="53"/>
        <v>0</v>
      </c>
      <c r="D224" s="136">
        <f t="shared" si="53"/>
        <v>0</v>
      </c>
      <c r="E224" s="136">
        <f t="shared" si="53"/>
        <v>0</v>
      </c>
      <c r="F224" s="136">
        <f t="shared" si="53"/>
        <v>0</v>
      </c>
      <c r="G224" s="136">
        <f t="shared" si="53"/>
        <v>0</v>
      </c>
      <c r="H224" s="136">
        <f t="shared" si="53"/>
        <v>0</v>
      </c>
      <c r="I224" s="136">
        <f t="shared" si="53"/>
        <v>0</v>
      </c>
      <c r="J224" s="136">
        <f t="shared" si="53"/>
        <v>0</v>
      </c>
      <c r="K224" s="136">
        <f t="shared" si="53"/>
        <v>0</v>
      </c>
      <c r="L224" s="136">
        <f t="shared" si="53"/>
        <v>0</v>
      </c>
      <c r="M224" s="136">
        <f t="shared" si="53"/>
        <v>0</v>
      </c>
      <c r="N224" s="136">
        <f t="shared" si="53"/>
        <v>0</v>
      </c>
      <c r="O224" s="136">
        <f t="shared" si="53"/>
        <v>0</v>
      </c>
      <c r="P224" s="136">
        <f t="shared" si="53"/>
        <v>0</v>
      </c>
      <c r="Q224" s="136">
        <f t="shared" si="53"/>
        <v>0</v>
      </c>
      <c r="R224" s="136">
        <f t="shared" si="53"/>
        <v>0</v>
      </c>
      <c r="S224" s="136">
        <f t="shared" si="53"/>
        <v>0</v>
      </c>
      <c r="T224" s="136">
        <f t="shared" si="53"/>
        <v>0</v>
      </c>
      <c r="U224" s="136">
        <f t="shared" si="53"/>
        <v>0</v>
      </c>
      <c r="V224" s="136">
        <f t="shared" si="53"/>
        <v>0</v>
      </c>
      <c r="W224" s="136">
        <f t="shared" si="53"/>
        <v>0</v>
      </c>
      <c r="X224" s="136">
        <f t="shared" si="53"/>
        <v>0</v>
      </c>
      <c r="Y224" s="136">
        <f t="shared" si="53"/>
        <v>0</v>
      </c>
      <c r="Z224" s="136">
        <f t="shared" si="53"/>
        <v>0</v>
      </c>
      <c r="AA224" s="136">
        <f t="shared" si="53"/>
        <v>0</v>
      </c>
      <c r="AB224" s="136">
        <f t="shared" si="53"/>
        <v>0</v>
      </c>
      <c r="AC224" s="136">
        <f t="shared" si="53"/>
        <v>0</v>
      </c>
      <c r="AD224" s="136">
        <f t="shared" si="53"/>
        <v>0</v>
      </c>
      <c r="AE224" s="136">
        <f t="shared" si="53"/>
        <v>0</v>
      </c>
      <c r="AF224" s="137">
        <f t="shared" si="53"/>
        <v>0</v>
      </c>
      <c r="AG224" s="138">
        <f t="shared" si="53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54">AF226</f>
        <v>0</v>
      </c>
      <c r="C226" s="140">
        <v>0.3</v>
      </c>
      <c r="D226" s="140">
        <f t="shared" ref="D226:P231" si="55">C226</f>
        <v>0.3</v>
      </c>
      <c r="E226" s="140">
        <f t="shared" si="55"/>
        <v>0.3</v>
      </c>
      <c r="F226" s="140">
        <f t="shared" si="55"/>
        <v>0.3</v>
      </c>
      <c r="G226" s="140">
        <f t="shared" si="55"/>
        <v>0.3</v>
      </c>
      <c r="H226" s="140">
        <f t="shared" si="55"/>
        <v>0.3</v>
      </c>
      <c r="I226" s="140">
        <f t="shared" si="55"/>
        <v>0.3</v>
      </c>
      <c r="J226" s="140">
        <f t="shared" si="55"/>
        <v>0.3</v>
      </c>
      <c r="K226" s="140">
        <f t="shared" si="55"/>
        <v>0.3</v>
      </c>
      <c r="L226" s="140">
        <f t="shared" si="55"/>
        <v>0.3</v>
      </c>
      <c r="M226" s="140">
        <f t="shared" si="55"/>
        <v>0.3</v>
      </c>
      <c r="N226" s="140">
        <f t="shared" si="55"/>
        <v>0.3</v>
      </c>
      <c r="O226" s="140">
        <f t="shared" si="55"/>
        <v>0.3</v>
      </c>
      <c r="P226" s="140">
        <f t="shared" si="55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54"/>
        <v>0</v>
      </c>
      <c r="C227" s="128">
        <v>0.4</v>
      </c>
      <c r="D227" s="128">
        <f t="shared" si="55"/>
        <v>0.4</v>
      </c>
      <c r="E227" s="128">
        <f t="shared" si="55"/>
        <v>0.4</v>
      </c>
      <c r="F227" s="128">
        <f t="shared" si="55"/>
        <v>0.4</v>
      </c>
      <c r="G227" s="128">
        <f t="shared" si="55"/>
        <v>0.4</v>
      </c>
      <c r="H227" s="128">
        <f t="shared" si="55"/>
        <v>0.4</v>
      </c>
      <c r="I227" s="128">
        <f t="shared" si="55"/>
        <v>0.4</v>
      </c>
      <c r="J227" s="128">
        <f t="shared" si="55"/>
        <v>0.4</v>
      </c>
      <c r="K227" s="128">
        <f t="shared" si="55"/>
        <v>0.4</v>
      </c>
      <c r="L227" s="128">
        <f t="shared" si="55"/>
        <v>0.4</v>
      </c>
      <c r="M227" s="128">
        <f t="shared" si="55"/>
        <v>0.4</v>
      </c>
      <c r="N227" s="128">
        <f t="shared" si="55"/>
        <v>0.4</v>
      </c>
      <c r="O227" s="128">
        <f t="shared" si="55"/>
        <v>0.4</v>
      </c>
      <c r="P227" s="128">
        <f t="shared" si="55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54"/>
        <v>0</v>
      </c>
      <c r="C228" s="128">
        <v>1.5</v>
      </c>
      <c r="D228" s="128">
        <f t="shared" si="55"/>
        <v>1.5</v>
      </c>
      <c r="E228" s="128">
        <f t="shared" si="55"/>
        <v>1.5</v>
      </c>
      <c r="F228" s="128">
        <f t="shared" si="55"/>
        <v>1.5</v>
      </c>
      <c r="G228" s="128">
        <f t="shared" si="55"/>
        <v>1.5</v>
      </c>
      <c r="H228" s="128">
        <f t="shared" si="55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55"/>
        <v>1.5</v>
      </c>
      <c r="K228" s="128">
        <f t="shared" ca="1" si="55"/>
        <v>1.5</v>
      </c>
      <c r="L228" s="128">
        <f t="shared" ca="1" si="55"/>
        <v>1.5</v>
      </c>
      <c r="M228" s="128">
        <f t="shared" ca="1" si="55"/>
        <v>1.5</v>
      </c>
      <c r="N228" s="128">
        <f t="shared" ca="1" si="55"/>
        <v>1.5</v>
      </c>
      <c r="O228" s="128">
        <f t="shared" ca="1" si="55"/>
        <v>1.5</v>
      </c>
      <c r="P228" s="128">
        <f t="shared" ca="1" si="55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54"/>
        <v>0</v>
      </c>
      <c r="C229" s="128">
        <v>0.3</v>
      </c>
      <c r="D229" s="128">
        <f t="shared" si="55"/>
        <v>0.3</v>
      </c>
      <c r="E229" s="128">
        <f t="shared" si="55"/>
        <v>0.3</v>
      </c>
      <c r="F229" s="128">
        <f t="shared" si="55"/>
        <v>0.3</v>
      </c>
      <c r="G229" s="128">
        <f t="shared" si="55"/>
        <v>0.3</v>
      </c>
      <c r="H229" s="128">
        <f t="shared" si="55"/>
        <v>0.3</v>
      </c>
      <c r="I229" s="128">
        <f t="shared" si="55"/>
        <v>0.3</v>
      </c>
      <c r="J229" s="128">
        <f t="shared" si="55"/>
        <v>0.3</v>
      </c>
      <c r="K229" s="128">
        <f t="shared" si="55"/>
        <v>0.3</v>
      </c>
      <c r="L229" s="128">
        <f t="shared" si="55"/>
        <v>0.3</v>
      </c>
      <c r="M229" s="128">
        <f t="shared" si="55"/>
        <v>0.3</v>
      </c>
      <c r="N229" s="128">
        <f t="shared" si="55"/>
        <v>0.3</v>
      </c>
      <c r="O229" s="128">
        <f t="shared" si="55"/>
        <v>0.3</v>
      </c>
      <c r="P229" s="128">
        <f t="shared" si="55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54"/>
        <v>0</v>
      </c>
      <c r="C230" s="128">
        <v>0.4</v>
      </c>
      <c r="D230" s="128">
        <f t="shared" si="55"/>
        <v>0.4</v>
      </c>
      <c r="E230" s="128">
        <f t="shared" si="55"/>
        <v>0.4</v>
      </c>
      <c r="F230" s="128">
        <f t="shared" si="55"/>
        <v>0.4</v>
      </c>
      <c r="G230" s="128">
        <f t="shared" si="55"/>
        <v>0.4</v>
      </c>
      <c r="H230" s="128">
        <f t="shared" si="55"/>
        <v>0.4</v>
      </c>
      <c r="I230" s="128">
        <f t="shared" si="55"/>
        <v>0.4</v>
      </c>
      <c r="J230" s="128">
        <f t="shared" si="55"/>
        <v>0.4</v>
      </c>
      <c r="K230" s="128">
        <f t="shared" si="55"/>
        <v>0.4</v>
      </c>
      <c r="L230" s="128">
        <f t="shared" si="55"/>
        <v>0.4</v>
      </c>
      <c r="M230" s="128">
        <f t="shared" si="55"/>
        <v>0.4</v>
      </c>
      <c r="N230" s="128">
        <f t="shared" si="55"/>
        <v>0.4</v>
      </c>
      <c r="O230" s="128">
        <f t="shared" si="55"/>
        <v>0.4</v>
      </c>
      <c r="P230" s="128">
        <f t="shared" si="55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54"/>
        <v>0</v>
      </c>
      <c r="C231" s="132">
        <v>0.64</v>
      </c>
      <c r="D231" s="132">
        <f t="shared" si="55"/>
        <v>0.64</v>
      </c>
      <c r="E231" s="132">
        <f t="shared" si="55"/>
        <v>0.64</v>
      </c>
      <c r="F231" s="132">
        <f t="shared" si="55"/>
        <v>0.64</v>
      </c>
      <c r="G231" s="132">
        <f t="shared" si="55"/>
        <v>0.64</v>
      </c>
      <c r="H231" s="132">
        <f t="shared" si="55"/>
        <v>0.64</v>
      </c>
      <c r="I231" s="132">
        <f t="shared" si="55"/>
        <v>0.64</v>
      </c>
      <c r="J231" s="132">
        <f t="shared" si="55"/>
        <v>0.64</v>
      </c>
      <c r="K231" s="132">
        <f t="shared" si="55"/>
        <v>0.64</v>
      </c>
      <c r="L231" s="132">
        <f t="shared" si="55"/>
        <v>0.64</v>
      </c>
      <c r="M231" s="132">
        <f t="shared" si="55"/>
        <v>0.64</v>
      </c>
      <c r="N231" s="132">
        <f t="shared" si="55"/>
        <v>0.64</v>
      </c>
      <c r="O231" s="132">
        <f t="shared" si="55"/>
        <v>0.64</v>
      </c>
      <c r="P231" s="132">
        <f t="shared" si="55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56">SUM(B226:B231)</f>
        <v>0</v>
      </c>
      <c r="C232" s="136">
        <f t="shared" si="56"/>
        <v>3.54</v>
      </c>
      <c r="D232" s="136">
        <f t="shared" si="56"/>
        <v>3.54</v>
      </c>
      <c r="E232" s="136">
        <f t="shared" si="56"/>
        <v>3.54</v>
      </c>
      <c r="F232" s="136">
        <f t="shared" si="56"/>
        <v>3.54</v>
      </c>
      <c r="G232" s="136">
        <f t="shared" si="56"/>
        <v>3.54</v>
      </c>
      <c r="H232" s="136">
        <f t="shared" si="56"/>
        <v>3.54</v>
      </c>
      <c r="I232" s="136">
        <f t="shared" ca="1" si="56"/>
        <v>3.54</v>
      </c>
      <c r="J232" s="136">
        <f t="shared" ca="1" si="56"/>
        <v>3.54</v>
      </c>
      <c r="K232" s="136">
        <f t="shared" ca="1" si="56"/>
        <v>3.54</v>
      </c>
      <c r="L232" s="136">
        <f t="shared" ca="1" si="56"/>
        <v>3.54</v>
      </c>
      <c r="M232" s="136">
        <f t="shared" ca="1" si="56"/>
        <v>3.54</v>
      </c>
      <c r="N232" s="136">
        <f t="shared" ca="1" si="56"/>
        <v>3.54</v>
      </c>
      <c r="O232" s="136">
        <f t="shared" ca="1" si="56"/>
        <v>3.54</v>
      </c>
      <c r="P232" s="136">
        <f t="shared" ca="1" si="56"/>
        <v>3.54</v>
      </c>
      <c r="Q232" s="136">
        <f t="shared" si="56"/>
        <v>0</v>
      </c>
      <c r="R232" s="136">
        <f t="shared" si="56"/>
        <v>0</v>
      </c>
      <c r="S232" s="136">
        <f t="shared" si="56"/>
        <v>0</v>
      </c>
      <c r="T232" s="136">
        <f t="shared" si="56"/>
        <v>0</v>
      </c>
      <c r="U232" s="136">
        <f t="shared" si="56"/>
        <v>0</v>
      </c>
      <c r="V232" s="136">
        <f t="shared" si="56"/>
        <v>0</v>
      </c>
      <c r="W232" s="136">
        <f t="shared" si="56"/>
        <v>0</v>
      </c>
      <c r="X232" s="136">
        <f t="shared" si="56"/>
        <v>0</v>
      </c>
      <c r="Y232" s="136">
        <f t="shared" si="56"/>
        <v>0</v>
      </c>
      <c r="Z232" s="136">
        <f t="shared" si="56"/>
        <v>0</v>
      </c>
      <c r="AA232" s="136">
        <f t="shared" si="56"/>
        <v>0</v>
      </c>
      <c r="AB232" s="136">
        <f t="shared" si="56"/>
        <v>0</v>
      </c>
      <c r="AC232" s="136">
        <f t="shared" si="56"/>
        <v>0</v>
      </c>
      <c r="AD232" s="136">
        <f t="shared" si="56"/>
        <v>0</v>
      </c>
      <c r="AE232" s="136">
        <f t="shared" si="56"/>
        <v>0</v>
      </c>
      <c r="AF232" s="136">
        <f t="shared" si="56"/>
        <v>0</v>
      </c>
      <c r="AG232" s="145">
        <f t="shared" si="56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1288.74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22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2079/11/22)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2079/11/22)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57">B89</f>
        <v>1054.74</v>
      </c>
      <c r="U246" s="170">
        <f t="shared" si="57"/>
        <v>1074.74</v>
      </c>
      <c r="V246" s="170">
        <f t="shared" si="57"/>
        <v>1064.74</v>
      </c>
      <c r="W246" s="170">
        <f t="shared" si="57"/>
        <v>990.34</v>
      </c>
      <c r="X246" s="170">
        <f t="shared" si="57"/>
        <v>977.33999999999992</v>
      </c>
      <c r="Y246" s="170">
        <f t="shared" si="57"/>
        <v>1003.34</v>
      </c>
      <c r="Z246" s="170">
        <f t="shared" si="57"/>
        <v>1051.3399999999999</v>
      </c>
      <c r="AA246" s="170">
        <f t="shared" si="57"/>
        <v>1091.3399999999999</v>
      </c>
      <c r="AB246" s="170">
        <f t="shared" si="57"/>
        <v>1142.3399999999999</v>
      </c>
      <c r="AC246" s="170">
        <f t="shared" si="57"/>
        <v>1278.3399999999999</v>
      </c>
      <c r="AD246" s="170">
        <f t="shared" si="57"/>
        <v>1262.3399999999999</v>
      </c>
      <c r="AE246" s="170">
        <f t="shared" si="57"/>
        <v>1288.74</v>
      </c>
      <c r="AF246" s="170">
        <f t="shared" si="57"/>
        <v>1232.3399999999999</v>
      </c>
      <c r="AG246" s="170">
        <f t="shared" si="57"/>
        <v>1126.24</v>
      </c>
      <c r="AH246" s="170">
        <f t="shared" si="57"/>
        <v>1094.6400000000001</v>
      </c>
      <c r="AI246" s="170">
        <f t="shared" si="57"/>
        <v>1059.04</v>
      </c>
      <c r="AJ246" s="170">
        <f t="shared" si="57"/>
        <v>1059.04</v>
      </c>
      <c r="AK246" s="170">
        <f t="shared" si="57"/>
        <v>1121.04</v>
      </c>
      <c r="AL246" s="170">
        <f t="shared" si="57"/>
        <v>1105.54</v>
      </c>
      <c r="AM246" s="170">
        <f t="shared" si="57"/>
        <v>1119.1399999999999</v>
      </c>
      <c r="AN246" s="170">
        <f t="shared" si="57"/>
        <v>1122.1399999999999</v>
      </c>
      <c r="AO246" s="170">
        <f t="shared" si="57"/>
        <v>1188.54</v>
      </c>
      <c r="AP246" s="170">
        <f t="shared" si="57"/>
        <v>1249.94</v>
      </c>
      <c r="AQ246" s="170">
        <f t="shared" si="57"/>
        <v>1368.94</v>
      </c>
      <c r="AR246" s="170">
        <f t="shared" si="57"/>
        <v>1357.94</v>
      </c>
      <c r="AS246" s="170">
        <f t="shared" si="57"/>
        <v>1346.94</v>
      </c>
      <c r="AT246" s="170">
        <f t="shared" si="57"/>
        <v>1251.24</v>
      </c>
      <c r="AU246" s="170">
        <f t="shared" si="57"/>
        <v>1187.24</v>
      </c>
      <c r="AV246" s="170">
        <f t="shared" si="57"/>
        <v>1151.1399999999999</v>
      </c>
      <c r="AW246" s="170">
        <f t="shared" si="57"/>
        <v>1032.1399999999999</v>
      </c>
      <c r="AX246" s="170">
        <f t="shared" si="57"/>
        <v>948.6400000000001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58">C231</f>
        <v>0.64</v>
      </c>
      <c r="C267" s="173">
        <f t="shared" si="58"/>
        <v>0.64</v>
      </c>
      <c r="D267" s="173">
        <f t="shared" si="58"/>
        <v>0.64</v>
      </c>
      <c r="E267" s="173">
        <f t="shared" si="58"/>
        <v>0.64</v>
      </c>
      <c r="F267" s="173">
        <f t="shared" si="58"/>
        <v>0.64</v>
      </c>
      <c r="G267" s="173">
        <f t="shared" si="58"/>
        <v>0.64</v>
      </c>
      <c r="H267" s="173">
        <f t="shared" si="58"/>
        <v>0.64</v>
      </c>
      <c r="I267" s="173">
        <f t="shared" si="58"/>
        <v>0.64</v>
      </c>
      <c r="J267" s="173">
        <f t="shared" si="58"/>
        <v>0.64</v>
      </c>
      <c r="K267" s="173">
        <f t="shared" si="58"/>
        <v>0.64</v>
      </c>
      <c r="L267" s="173">
        <f t="shared" si="58"/>
        <v>0.64</v>
      </c>
      <c r="M267" s="173">
        <f t="shared" si="58"/>
        <v>0.64</v>
      </c>
      <c r="N267" s="173">
        <f t="shared" si="58"/>
        <v>0.64</v>
      </c>
      <c r="O267" s="173">
        <f t="shared" si="58"/>
        <v>0.64</v>
      </c>
      <c r="P267" s="173">
        <f t="shared" si="58"/>
        <v>0</v>
      </c>
      <c r="Q267" s="173">
        <f t="shared" si="58"/>
        <v>0</v>
      </c>
      <c r="R267" s="173">
        <f t="shared" si="58"/>
        <v>0</v>
      </c>
      <c r="S267" s="173">
        <f t="shared" si="58"/>
        <v>0</v>
      </c>
      <c r="T267" s="173">
        <f t="shared" si="58"/>
        <v>0</v>
      </c>
      <c r="U267" s="173">
        <f t="shared" si="58"/>
        <v>0</v>
      </c>
      <c r="V267" s="173">
        <f t="shared" si="58"/>
        <v>0</v>
      </c>
      <c r="W267" s="173">
        <f t="shared" si="58"/>
        <v>0</v>
      </c>
      <c r="X267" s="173">
        <f t="shared" si="58"/>
        <v>0</v>
      </c>
      <c r="Y267" s="173">
        <f t="shared" si="58"/>
        <v>0</v>
      </c>
      <c r="Z267" s="173">
        <f t="shared" si="58"/>
        <v>0</v>
      </c>
      <c r="AA267" s="173">
        <f t="shared" si="58"/>
        <v>0</v>
      </c>
      <c r="AB267" s="173">
        <f t="shared" si="58"/>
        <v>0</v>
      </c>
      <c r="AC267" s="173">
        <f t="shared" si="58"/>
        <v>0</v>
      </c>
      <c r="AD267" s="173">
        <f t="shared" si="58"/>
        <v>0</v>
      </c>
      <c r="AE267" s="173">
        <f t="shared" si="58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59">IF(B235&lt;100,"",B235-520)</f>
        <v/>
      </c>
      <c r="C268" s="174" t="str">
        <f t="shared" si="59"/>
        <v/>
      </c>
      <c r="D268" s="174" t="str">
        <f t="shared" si="59"/>
        <v/>
      </c>
      <c r="E268" s="174" t="str">
        <f t="shared" si="59"/>
        <v/>
      </c>
      <c r="F268" s="174" t="str">
        <f t="shared" si="59"/>
        <v/>
      </c>
      <c r="G268" s="174" t="str">
        <f t="shared" si="59"/>
        <v/>
      </c>
      <c r="H268" s="174" t="str">
        <f t="shared" si="59"/>
        <v/>
      </c>
      <c r="I268" s="174" t="str">
        <f t="shared" si="59"/>
        <v/>
      </c>
      <c r="J268" s="174" t="str">
        <f t="shared" si="59"/>
        <v/>
      </c>
      <c r="K268" s="174" t="str">
        <f t="shared" si="59"/>
        <v/>
      </c>
      <c r="L268" s="174" t="str">
        <f t="shared" si="59"/>
        <v/>
      </c>
      <c r="M268" s="174" t="str">
        <f t="shared" si="59"/>
        <v/>
      </c>
      <c r="N268" s="174" t="str">
        <f t="shared" si="59"/>
        <v/>
      </c>
      <c r="O268" s="174" t="str">
        <f t="shared" si="59"/>
        <v/>
      </c>
      <c r="P268" s="174" t="str">
        <f t="shared" si="59"/>
        <v/>
      </c>
      <c r="Q268" s="174" t="str">
        <f t="shared" si="59"/>
        <v/>
      </c>
      <c r="R268" s="174" t="str">
        <f t="shared" si="59"/>
        <v/>
      </c>
      <c r="S268" s="174" t="str">
        <f t="shared" si="59"/>
        <v/>
      </c>
      <c r="T268" s="174" t="str">
        <f t="shared" si="59"/>
        <v/>
      </c>
      <c r="U268" s="174" t="str">
        <f t="shared" si="59"/>
        <v/>
      </c>
      <c r="V268" s="174" t="str">
        <f t="shared" si="59"/>
        <v/>
      </c>
      <c r="W268" s="174" t="str">
        <f t="shared" si="59"/>
        <v/>
      </c>
      <c r="X268" s="174" t="str">
        <f t="shared" si="59"/>
        <v/>
      </c>
      <c r="Y268" s="174" t="str">
        <f t="shared" si="59"/>
        <v/>
      </c>
      <c r="Z268" s="174" t="str">
        <f t="shared" si="59"/>
        <v/>
      </c>
      <c r="AA268" s="174" t="str">
        <f t="shared" si="59"/>
        <v/>
      </c>
      <c r="AB268" s="174" t="str">
        <f t="shared" si="59"/>
        <v/>
      </c>
      <c r="AC268" s="174" t="str">
        <f t="shared" si="59"/>
        <v/>
      </c>
      <c r="AD268" s="174" t="str">
        <f t="shared" si="59"/>
        <v/>
      </c>
      <c r="AE268" s="174" t="str">
        <f t="shared" si="59"/>
        <v/>
      </c>
      <c r="AF268" s="174" t="str">
        <f t="shared" si="59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60">IF(B236&lt;100,"",B236-620)</f>
        <v/>
      </c>
      <c r="C269" s="174" t="str">
        <f t="shared" si="60"/>
        <v/>
      </c>
      <c r="D269" s="174" t="str">
        <f t="shared" si="60"/>
        <v/>
      </c>
      <c r="E269" s="174" t="str">
        <f t="shared" si="60"/>
        <v/>
      </c>
      <c r="F269" s="174" t="str">
        <f t="shared" si="60"/>
        <v/>
      </c>
      <c r="G269" s="174" t="str">
        <f t="shared" si="60"/>
        <v/>
      </c>
      <c r="H269" s="174" t="str">
        <f t="shared" si="60"/>
        <v/>
      </c>
      <c r="I269" s="174" t="str">
        <f t="shared" si="60"/>
        <v/>
      </c>
      <c r="J269" s="174" t="str">
        <f t="shared" si="60"/>
        <v/>
      </c>
      <c r="K269" s="174" t="str">
        <f t="shared" si="60"/>
        <v/>
      </c>
      <c r="L269" s="174" t="str">
        <f t="shared" si="60"/>
        <v/>
      </c>
      <c r="M269" s="174" t="str">
        <f t="shared" si="60"/>
        <v/>
      </c>
      <c r="N269" s="174" t="str">
        <f t="shared" si="60"/>
        <v/>
      </c>
      <c r="O269" s="174" t="str">
        <f t="shared" si="60"/>
        <v/>
      </c>
      <c r="P269" s="174" t="str">
        <f t="shared" si="60"/>
        <v/>
      </c>
      <c r="Q269" s="174" t="str">
        <f t="shared" si="60"/>
        <v/>
      </c>
      <c r="R269" s="174" t="str">
        <f t="shared" si="60"/>
        <v/>
      </c>
      <c r="S269" s="174" t="str">
        <f t="shared" si="60"/>
        <v/>
      </c>
      <c r="T269" s="174" t="str">
        <f t="shared" si="60"/>
        <v/>
      </c>
      <c r="U269" s="174" t="str">
        <f t="shared" si="60"/>
        <v/>
      </c>
      <c r="V269" s="174" t="str">
        <f t="shared" si="60"/>
        <v/>
      </c>
      <c r="W269" s="174" t="str">
        <f t="shared" si="60"/>
        <v/>
      </c>
      <c r="X269" s="174" t="str">
        <f t="shared" si="60"/>
        <v/>
      </c>
      <c r="Y269" s="174" t="str">
        <f t="shared" si="60"/>
        <v/>
      </c>
      <c r="Z269" s="174" t="str">
        <f t="shared" si="60"/>
        <v/>
      </c>
      <c r="AA269" s="174" t="str">
        <f t="shared" si="60"/>
        <v/>
      </c>
      <c r="AB269" s="174" t="str">
        <f t="shared" si="60"/>
        <v/>
      </c>
      <c r="AC269" s="174" t="str">
        <f t="shared" si="60"/>
        <v/>
      </c>
      <c r="AD269" s="174" t="str">
        <f t="shared" si="60"/>
        <v/>
      </c>
      <c r="AE269" s="174" t="str">
        <f t="shared" si="60"/>
        <v/>
      </c>
      <c r="AF269" s="174" t="str">
        <f t="shared" si="60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61">IF(B237&lt;100,"",B237-330)</f>
        <v/>
      </c>
      <c r="C270" s="174" t="str">
        <f t="shared" si="61"/>
        <v/>
      </c>
      <c r="D270" s="174" t="str">
        <f t="shared" si="61"/>
        <v/>
      </c>
      <c r="E270" s="174" t="str">
        <f t="shared" si="61"/>
        <v/>
      </c>
      <c r="F270" s="174" t="str">
        <f t="shared" si="61"/>
        <v/>
      </c>
      <c r="G270" s="174" t="str">
        <f t="shared" si="61"/>
        <v/>
      </c>
      <c r="H270" s="174" t="str">
        <f t="shared" si="61"/>
        <v/>
      </c>
      <c r="I270" s="174" t="str">
        <f t="shared" si="61"/>
        <v/>
      </c>
      <c r="J270" s="174" t="str">
        <f t="shared" si="61"/>
        <v/>
      </c>
      <c r="K270" s="174" t="str">
        <f t="shared" si="61"/>
        <v/>
      </c>
      <c r="L270" s="174" t="str">
        <f t="shared" si="61"/>
        <v/>
      </c>
      <c r="M270" s="174" t="str">
        <f t="shared" si="61"/>
        <v/>
      </c>
      <c r="N270" s="174" t="str">
        <f t="shared" si="61"/>
        <v/>
      </c>
      <c r="O270" s="174" t="str">
        <f t="shared" si="61"/>
        <v/>
      </c>
      <c r="P270" s="174" t="str">
        <f t="shared" si="61"/>
        <v/>
      </c>
      <c r="Q270" s="174" t="str">
        <f t="shared" si="61"/>
        <v/>
      </c>
      <c r="R270" s="174" t="str">
        <f t="shared" si="61"/>
        <v/>
      </c>
      <c r="S270" s="174" t="str">
        <f t="shared" si="61"/>
        <v/>
      </c>
      <c r="T270" s="174" t="str">
        <f t="shared" si="61"/>
        <v/>
      </c>
      <c r="U270" s="174" t="str">
        <f t="shared" si="61"/>
        <v/>
      </c>
      <c r="V270" s="174" t="str">
        <f t="shared" si="61"/>
        <v/>
      </c>
      <c r="W270" s="174" t="str">
        <f t="shared" si="61"/>
        <v/>
      </c>
      <c r="X270" s="174" t="str">
        <f t="shared" si="61"/>
        <v/>
      </c>
      <c r="Y270" s="174" t="str">
        <f t="shared" si="61"/>
        <v/>
      </c>
      <c r="Z270" s="174" t="str">
        <f t="shared" si="61"/>
        <v/>
      </c>
      <c r="AA270" s="174" t="str">
        <f t="shared" si="61"/>
        <v/>
      </c>
      <c r="AB270" s="174" t="str">
        <f t="shared" si="61"/>
        <v/>
      </c>
      <c r="AC270" s="174" t="str">
        <f t="shared" si="61"/>
        <v/>
      </c>
      <c r="AD270" s="174" t="str">
        <f t="shared" si="61"/>
        <v/>
      </c>
      <c r="AE270" s="174" t="str">
        <f t="shared" si="61"/>
        <v/>
      </c>
      <c r="AF270" s="174" t="str">
        <f t="shared" si="61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62">IF(B238&lt;100,"",B238-1500)</f>
        <v/>
      </c>
      <c r="C271" s="174" t="str">
        <f t="shared" si="62"/>
        <v/>
      </c>
      <c r="D271" s="174" t="str">
        <f t="shared" si="62"/>
        <v/>
      </c>
      <c r="E271" s="174" t="str">
        <f t="shared" si="62"/>
        <v/>
      </c>
      <c r="F271" s="174" t="str">
        <f t="shared" si="62"/>
        <v/>
      </c>
      <c r="G271" s="174" t="str">
        <f t="shared" si="62"/>
        <v/>
      </c>
      <c r="H271" s="174" t="str">
        <f t="shared" si="62"/>
        <v/>
      </c>
      <c r="I271" s="174" t="str">
        <f t="shared" si="62"/>
        <v/>
      </c>
      <c r="J271" s="174" t="str">
        <f t="shared" si="62"/>
        <v/>
      </c>
      <c r="K271" s="174" t="str">
        <f t="shared" si="62"/>
        <v/>
      </c>
      <c r="L271" s="174" t="str">
        <f t="shared" si="62"/>
        <v/>
      </c>
      <c r="M271" s="174" t="str">
        <f t="shared" si="62"/>
        <v/>
      </c>
      <c r="N271" s="174" t="str">
        <f t="shared" si="62"/>
        <v/>
      </c>
      <c r="O271" s="174" t="str">
        <f t="shared" si="62"/>
        <v/>
      </c>
      <c r="P271" s="174" t="str">
        <f t="shared" si="62"/>
        <v/>
      </c>
      <c r="Q271" s="174" t="str">
        <f t="shared" si="62"/>
        <v/>
      </c>
      <c r="R271" s="174" t="str">
        <f t="shared" si="62"/>
        <v/>
      </c>
      <c r="S271" s="174" t="str">
        <f t="shared" si="62"/>
        <v/>
      </c>
      <c r="T271" s="174" t="str">
        <f t="shared" si="62"/>
        <v/>
      </c>
      <c r="U271" s="174" t="str">
        <f t="shared" si="62"/>
        <v/>
      </c>
      <c r="V271" s="174" t="str">
        <f t="shared" si="62"/>
        <v/>
      </c>
      <c r="W271" s="174" t="str">
        <f t="shared" si="62"/>
        <v/>
      </c>
      <c r="X271" s="174" t="str">
        <f t="shared" si="62"/>
        <v/>
      </c>
      <c r="Y271" s="174" t="str">
        <f t="shared" si="62"/>
        <v/>
      </c>
      <c r="Z271" s="174" t="str">
        <f t="shared" si="62"/>
        <v/>
      </c>
      <c r="AA271" s="174" t="str">
        <f t="shared" si="62"/>
        <v/>
      </c>
      <c r="AB271" s="174" t="str">
        <f t="shared" si="62"/>
        <v/>
      </c>
      <c r="AC271" s="174" t="str">
        <f t="shared" si="62"/>
        <v/>
      </c>
      <c r="AD271" s="174" t="str">
        <f t="shared" si="62"/>
        <v/>
      </c>
      <c r="AE271" s="174" t="str">
        <f t="shared" si="62"/>
        <v/>
      </c>
      <c r="AF271" s="174" t="str">
        <f t="shared" si="62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F109:AF109 F111:AF116 Y17:AF32 Y34:AF43 Y45:AF45 Y12:AF15">
    <cfRule type="expression" dxfId="4667" priority="378">
      <formula>B$9&gt;=20/24</formula>
    </cfRule>
    <cfRule type="expression" dxfId="4666" priority="379">
      <formula>AND(B$9&gt;=14/24,B$9&lt;20/24)</formula>
    </cfRule>
    <cfRule type="expression" dxfId="4665" priority="380">
      <formula>AND(B$9&gt;=8/24,B$9&lt;14/24)</formula>
    </cfRule>
    <cfRule type="expression" dxfId="4664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 Y17:AF32 Y34:AF43 Y45:AF45 Y12:AF15">
    <cfRule type="expression" dxfId="4663" priority="376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4662" priority="375">
      <formula>$AH12=0</formula>
    </cfRule>
  </conditionalFormatting>
  <conditionalFormatting sqref="A114">
    <cfRule type="expression" dxfId="4661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660" priority="372">
      <formula>$AH45=0</formula>
    </cfRule>
  </conditionalFormatting>
  <conditionalFormatting sqref="A98">
    <cfRule type="expression" dxfId="4659" priority="371">
      <formula>$AH98=0</formula>
    </cfRule>
  </conditionalFormatting>
  <conditionalFormatting sqref="A18">
    <cfRule type="expression" dxfId="4658" priority="370">
      <formula>$AH18=0</formula>
    </cfRule>
  </conditionalFormatting>
  <conditionalFormatting sqref="A196:A201">
    <cfRule type="expression" dxfId="4657" priority="369">
      <formula>$AH196=0</formula>
    </cfRule>
  </conditionalFormatting>
  <conditionalFormatting sqref="A190:A195">
    <cfRule type="expression" dxfId="4656" priority="368">
      <formula>$AH190=0</formula>
    </cfRule>
  </conditionalFormatting>
  <conditionalFormatting sqref="A58">
    <cfRule type="expression" dxfId="4655" priority="367">
      <formula>$AH58=0</formula>
    </cfRule>
  </conditionalFormatting>
  <conditionalFormatting sqref="A94">
    <cfRule type="expression" dxfId="4654" priority="366">
      <formula>$AH94=0</formula>
    </cfRule>
  </conditionalFormatting>
  <conditionalFormatting sqref="AD99:AF99 F99:Z99">
    <cfRule type="expression" dxfId="4653" priority="362">
      <formula>F$9&gt;=20/24</formula>
    </cfRule>
    <cfRule type="expression" dxfId="4652" priority="363">
      <formula>AND(F$9&gt;=14/24,F$9&lt;20/24)</formula>
    </cfRule>
    <cfRule type="expression" dxfId="4651" priority="364">
      <formula>AND(F$9&gt;=8/24,F$9&lt;14/24)</formula>
    </cfRule>
    <cfRule type="expression" dxfId="4650" priority="365">
      <formula>F$9&lt;8/24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49" priority="384">
      <formula>C$9&gt;=20/24</formula>
    </cfRule>
    <cfRule type="expression" dxfId="4648" priority="385">
      <formula>AND(C$9&gt;=14/24,C$9&lt;20/24)</formula>
    </cfRule>
    <cfRule type="expression" dxfId="4647" priority="386">
      <formula>AND(C$9&gt;=8/24,C$9&lt;14/24)</formula>
    </cfRule>
    <cfRule type="expression" dxfId="4646" priority="387">
      <formula>C$9&lt;8/24</formula>
    </cfRule>
  </conditionalFormatting>
  <conditionalFormatting sqref="A233">
    <cfRule type="expression" dxfId="4645" priority="388">
      <formula>$AH233=0</formula>
    </cfRule>
  </conditionalFormatting>
  <conditionalFormatting sqref="AG245">
    <cfRule type="expression" dxfId="4644" priority="389">
      <formula>B$9&gt;=20/24</formula>
    </cfRule>
    <cfRule type="expression" dxfId="4643" priority="390">
      <formula>AND(B$9&gt;=14/24,B$9&lt;20/24)</formula>
    </cfRule>
    <cfRule type="expression" dxfId="4642" priority="391">
      <formula>AND(B$9&gt;=8/24,B$9&lt;14/24)</formula>
    </cfRule>
    <cfRule type="expression" dxfId="4641" priority="392">
      <formula>B$9&lt;8/24</formula>
    </cfRule>
  </conditionalFormatting>
  <conditionalFormatting sqref="S8">
    <cfRule type="expression" dxfId="4640" priority="357">
      <formula>U$9&gt;=20/24</formula>
    </cfRule>
    <cfRule type="expression" dxfId="4639" priority="358">
      <formula>AND(U$9&gt;=14/24,U$9&lt;20/24)</formula>
    </cfRule>
    <cfRule type="expression" dxfId="4638" priority="359">
      <formula>AND(U$9&gt;=8/24,U$9&lt;14/24)</formula>
    </cfRule>
    <cfRule type="expression" dxfId="4637" priority="360">
      <formula>U$9&lt;8/24</formula>
    </cfRule>
  </conditionalFormatting>
  <conditionalFormatting sqref="AB8">
    <cfRule type="expression" dxfId="4636" priority="353">
      <formula>AD$9&gt;=20/24</formula>
    </cfRule>
    <cfRule type="expression" dxfId="4635" priority="354">
      <formula>AND(AD$9&gt;=14/24,AD$9&lt;20/24)</formula>
    </cfRule>
    <cfRule type="expression" dxfId="4634" priority="355">
      <formula>AND(AD$9&gt;=8/24,AD$9&lt;14/24)</formula>
    </cfRule>
    <cfRule type="expression" dxfId="4633" priority="356">
      <formula>AD$9&lt;8/24</formula>
    </cfRule>
  </conditionalFormatting>
  <conditionalFormatting sqref="AH245:AX245">
    <cfRule type="expression" dxfId="4632" priority="393">
      <formula>AG$9&gt;=20/24</formula>
    </cfRule>
    <cfRule type="expression" dxfId="4631" priority="394">
      <formula>AND(AG$9&gt;=14/24,AG$9&lt;20/24)</formula>
    </cfRule>
    <cfRule type="expression" dxfId="4630" priority="395">
      <formula>AND(AG$9&gt;=8/24,AG$9&lt;14/24)</formula>
    </cfRule>
    <cfRule type="expression" dxfId="4629" priority="396">
      <formula>AG$9&lt;8/24</formula>
    </cfRule>
  </conditionalFormatting>
  <conditionalFormatting sqref="T245">
    <cfRule type="expression" dxfId="4628" priority="397">
      <formula>AX$9&gt;=20/24</formula>
    </cfRule>
    <cfRule type="expression" dxfId="4627" priority="398">
      <formula>AND(AX$9&gt;=14/24,AX$9&lt;20/24)</formula>
    </cfRule>
    <cfRule type="expression" dxfId="4626" priority="399">
      <formula>AND(AX$9&gt;=8/24,AX$9&lt;14/24)</formula>
    </cfRule>
    <cfRule type="expression" dxfId="4625" priority="400">
      <formula>AX$9&lt;8/24</formula>
    </cfRule>
  </conditionalFormatting>
  <conditionalFormatting sqref="A115:A116">
    <cfRule type="expression" dxfId="4624" priority="352">
      <formula>$AH115=0</formula>
    </cfRule>
  </conditionalFormatting>
  <conditionalFormatting sqref="M54:X58 Y56:AA57 M71:AF71 AB54:AF57">
    <cfRule type="expression" dxfId="4623" priority="348">
      <formula>M$9&gt;=20/24</formula>
    </cfRule>
    <cfRule type="expression" dxfId="4622" priority="349">
      <formula>AND(M$9&gt;=14/24,M$9&lt;20/24)</formula>
    </cfRule>
    <cfRule type="expression" dxfId="4621" priority="350">
      <formula>AND(M$9&gt;=8/24,M$9&lt;14/24)</formula>
    </cfRule>
    <cfRule type="expression" dxfId="4620" priority="351">
      <formula>M$9&lt;8/24</formula>
    </cfRule>
  </conditionalFormatting>
  <conditionalFormatting sqref="M53:X53 AB53:AF53">
    <cfRule type="expression" dxfId="4619" priority="344">
      <formula>M$9&gt;=20/24</formula>
    </cfRule>
    <cfRule type="expression" dxfId="4618" priority="345">
      <formula>AND(M$9&gt;=14/24,M$9&lt;20/24)</formula>
    </cfRule>
    <cfRule type="expression" dxfId="4617" priority="346">
      <formula>AND(M$9&gt;=8/24,M$9&lt;14/24)</formula>
    </cfRule>
    <cfRule type="expression" dxfId="4616" priority="347">
      <formula>M$9&lt;8/24</formula>
    </cfRule>
  </conditionalFormatting>
  <conditionalFormatting sqref="M53:X58 Y56:AA57 AB53:AF57">
    <cfRule type="expression" dxfId="4615" priority="343">
      <formula>M53&gt;$AG53</formula>
    </cfRule>
  </conditionalFormatting>
  <conditionalFormatting sqref="AD100:AF106 M72:X73 M100:Z106 M86:AF86 X96:AF96 X47:AF47 Y72:AF74 AB67:AF69">
    <cfRule type="expression" dxfId="4614" priority="339">
      <formula>M$9&gt;=20/24</formula>
    </cfRule>
    <cfRule type="expression" dxfId="4613" priority="340">
      <formula>AND(M$9&gt;=14/24,M$9&lt;20/24)</formula>
    </cfRule>
    <cfRule type="expression" dxfId="4612" priority="341">
      <formula>AND(M$9&gt;=8/24,M$9&lt;14/24)</formula>
    </cfRule>
    <cfRule type="expression" dxfId="4611" priority="342">
      <formula>M$9&lt;8/24</formula>
    </cfRule>
  </conditionalFormatting>
  <conditionalFormatting sqref="X47:AF47 AB67:AF69">
    <cfRule type="expression" dxfId="4610" priority="338">
      <formula>X47&gt;$AG47</formula>
    </cfRule>
  </conditionalFormatting>
  <conditionalFormatting sqref="Y53:AA55">
    <cfRule type="expression" dxfId="4609" priority="334">
      <formula>Y$9&gt;=20/24</formula>
    </cfRule>
    <cfRule type="expression" dxfId="4608" priority="335">
      <formula>AND(Y$9&gt;=14/24,Y$9&lt;20/24)</formula>
    </cfRule>
    <cfRule type="expression" dxfId="4607" priority="336">
      <formula>AND(Y$9&gt;=8/24,Y$9&lt;14/24)</formula>
    </cfRule>
    <cfRule type="expression" dxfId="4606" priority="337">
      <formula>Y$9&lt;8/24</formula>
    </cfRule>
  </conditionalFormatting>
  <conditionalFormatting sqref="Y53:AA55">
    <cfRule type="expression" dxfId="4605" priority="333">
      <formula>Y53&gt;$AG53</formula>
    </cfRule>
  </conditionalFormatting>
  <conditionalFormatting sqref="F97:AF97 N88:AF88">
    <cfRule type="expression" dxfId="4604" priority="329">
      <formula>F$9&gt;=20/24</formula>
    </cfRule>
    <cfRule type="expression" dxfId="4603" priority="330">
      <formula>AND(F$9&gt;=14/24,F$9&lt;20/24)</formula>
    </cfRule>
    <cfRule type="expression" dxfId="4602" priority="331">
      <formula>AND(F$9&gt;=8/24,F$9&lt;14/24)</formula>
    </cfRule>
    <cfRule type="expression" dxfId="4601" priority="332">
      <formula>F$9&lt;8/24</formula>
    </cfRule>
  </conditionalFormatting>
  <conditionalFormatting sqref="T47:W47">
    <cfRule type="expression" dxfId="4600" priority="325">
      <formula>T$9&gt;=20/24</formula>
    </cfRule>
    <cfRule type="expression" dxfId="4599" priority="326">
      <formula>AND(T$9&gt;=14/24,T$9&lt;20/24)</formula>
    </cfRule>
    <cfRule type="expression" dxfId="4598" priority="327">
      <formula>AND(T$9&gt;=8/24,T$9&lt;14/24)</formula>
    </cfRule>
    <cfRule type="expression" dxfId="4597" priority="328">
      <formula>T$9&lt;8/24</formula>
    </cfRule>
  </conditionalFormatting>
  <conditionalFormatting sqref="T47:W47">
    <cfRule type="expression" dxfId="4596" priority="324">
      <formula>T47&gt;$AG47</formula>
    </cfRule>
  </conditionalFormatting>
  <conditionalFormatting sqref="Y46:AF46">
    <cfRule type="expression" dxfId="4595" priority="320">
      <formula>Y$9&gt;=20/24</formula>
    </cfRule>
    <cfRule type="expression" dxfId="4594" priority="321">
      <formula>AND(Y$9&gt;=14/24,Y$9&lt;20/24)</formula>
    </cfRule>
    <cfRule type="expression" dxfId="4593" priority="322">
      <formula>AND(Y$9&gt;=8/24,Y$9&lt;14/24)</formula>
    </cfRule>
    <cfRule type="expression" dxfId="4592" priority="323">
      <formula>Y$9&lt;8/24</formula>
    </cfRule>
  </conditionalFormatting>
  <conditionalFormatting sqref="Y46:AF46">
    <cfRule type="expression" dxfId="4591" priority="315">
      <formula>Y46&gt;$AG46</formula>
    </cfRule>
  </conditionalFormatting>
  <conditionalFormatting sqref="AG70 AG87 G100:L106 T67:AA69">
    <cfRule type="expression" dxfId="4590" priority="311">
      <formula>G$9&gt;=20/24</formula>
    </cfRule>
    <cfRule type="expression" dxfId="4589" priority="312">
      <formula>AND(G$9&gt;=14/24,G$9&lt;20/24)</formula>
    </cfRule>
    <cfRule type="expression" dxfId="4588" priority="313">
      <formula>AND(G$9&gt;=8/24,G$9&lt;14/24)</formula>
    </cfRule>
    <cfRule type="expression" dxfId="4587" priority="314">
      <formula>G$9&lt;8/24</formula>
    </cfRule>
  </conditionalFormatting>
  <conditionalFormatting sqref="AG48 AG66 AG70 T67:AA69">
    <cfRule type="expression" dxfId="4586" priority="310">
      <formula>T48&gt;$AG48</formula>
    </cfRule>
  </conditionalFormatting>
  <conditionalFormatting sqref="Y58:AF58">
    <cfRule type="expression" dxfId="4585" priority="306">
      <formula>Y$9&gt;=20/24</formula>
    </cfRule>
    <cfRule type="expression" dxfId="4584" priority="307">
      <formula>AND(Y$9&gt;=14/24,Y$9&lt;20/24)</formula>
    </cfRule>
    <cfRule type="expression" dxfId="4583" priority="308">
      <formula>AND(Y$9&gt;=8/24,Y$9&lt;14/24)</formula>
    </cfRule>
    <cfRule type="expression" dxfId="4582" priority="309">
      <formula>Y$9&lt;8/24</formula>
    </cfRule>
  </conditionalFormatting>
  <conditionalFormatting sqref="Y58:AF58">
    <cfRule type="expression" dxfId="4581" priority="305">
      <formula>Y58&gt;$AG58</formula>
    </cfRule>
  </conditionalFormatting>
  <conditionalFormatting sqref="A43">
    <cfRule type="expression" dxfId="4580" priority="304">
      <formula>$AH43=0</formula>
    </cfRule>
  </conditionalFormatting>
  <conditionalFormatting sqref="X91:AF95">
    <cfRule type="expression" dxfId="4579" priority="300">
      <formula>X$9&gt;=20/24</formula>
    </cfRule>
    <cfRule type="expression" dxfId="4578" priority="301">
      <formula>AND(X$9&gt;=14/24,X$9&lt;20/24)</formula>
    </cfRule>
    <cfRule type="expression" dxfId="4577" priority="302">
      <formula>AND(X$9&gt;=8/24,X$9&lt;14/24)</formula>
    </cfRule>
    <cfRule type="expression" dxfId="4576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M49:AF51">
    <cfRule type="expression" dxfId="4575" priority="296">
      <formula>M$9&gt;=20/24</formula>
    </cfRule>
    <cfRule type="expression" dxfId="4574" priority="297">
      <formula>AND(M$9&gt;=14/24,M$9&lt;20/24)</formula>
    </cfRule>
    <cfRule type="expression" dxfId="4573" priority="298">
      <formula>AND(M$9&gt;=8/24,M$9&lt;14/24)</formula>
    </cfRule>
    <cfRule type="expression" dxfId="4572" priority="299">
      <formula>M$9&lt;8/24</formula>
    </cfRule>
  </conditionalFormatting>
  <conditionalFormatting sqref="M49:AF51">
    <cfRule type="expression" dxfId="4571" priority="295">
      <formula>M49&gt;$AG49</formula>
    </cfRule>
  </conditionalFormatting>
  <conditionalFormatting sqref="AG52">
    <cfRule type="expression" dxfId="4570" priority="291">
      <formula>AG$9&gt;=20/24</formula>
    </cfRule>
    <cfRule type="expression" dxfId="4569" priority="292">
      <formula>AND(AG$9&gt;=14/24,AG$9&lt;20/24)</formula>
    </cfRule>
    <cfRule type="expression" dxfId="4568" priority="293">
      <formula>AND(AG$9&gt;=8/24,AG$9&lt;14/24)</formula>
    </cfRule>
    <cfRule type="expression" dxfId="4567" priority="294">
      <formula>AG$9&lt;8/24</formula>
    </cfRule>
  </conditionalFormatting>
  <conditionalFormatting sqref="AG52">
    <cfRule type="expression" dxfId="4566" priority="290">
      <formula>AG52&gt;$AG52</formula>
    </cfRule>
  </conditionalFormatting>
  <conditionalFormatting sqref="F107:AF107">
    <cfRule type="expression" dxfId="4565" priority="286">
      <formula>F$9&gt;=20/24</formula>
    </cfRule>
    <cfRule type="expression" dxfId="4564" priority="287">
      <formula>AND(F$9&gt;=14/24,F$9&lt;20/24)</formula>
    </cfRule>
    <cfRule type="expression" dxfId="4563" priority="288">
      <formula>AND(F$9&gt;=8/24,F$9&lt;14/24)</formula>
    </cfRule>
    <cfRule type="expression" dxfId="4562" priority="289">
      <formula>F$9&lt;8/24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561" priority="284">
      <formula>$AH40=0</formula>
    </cfRule>
  </conditionalFormatting>
  <conditionalFormatting sqref="A90">
    <cfRule type="expression" dxfId="4560" priority="282">
      <formula>$AH90=0</formula>
    </cfRule>
  </conditionalFormatting>
  <conditionalFormatting sqref="A87">
    <cfRule type="expression" dxfId="4559" priority="283">
      <formula>$AH87=0</formula>
    </cfRule>
  </conditionalFormatting>
  <conditionalFormatting sqref="F110:AF110">
    <cfRule type="expression" dxfId="4558" priority="278">
      <formula>F$9&gt;=20/24</formula>
    </cfRule>
    <cfRule type="expression" dxfId="4557" priority="279">
      <formula>AND(F$9&gt;=14/24,F$9&lt;20/24)</formula>
    </cfRule>
    <cfRule type="expression" dxfId="4556" priority="280">
      <formula>AND(F$9&gt;=8/24,F$9&lt;14/24)</formula>
    </cfRule>
    <cfRule type="expression" dxfId="4555" priority="281">
      <formula>F$9&lt;8/24</formula>
    </cfRule>
  </conditionalFormatting>
  <conditionalFormatting sqref="A110">
    <cfRule type="expression" dxfId="4554" priority="277">
      <formula>$AH110=0</formula>
    </cfRule>
  </conditionalFormatting>
  <conditionalFormatting sqref="A21">
    <cfRule type="expression" dxfId="4553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552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AA99:AC99">
    <cfRule type="expression" dxfId="4551" priority="269">
      <formula>AA$9&gt;=20/24</formula>
    </cfRule>
    <cfRule type="expression" dxfId="4550" priority="270">
      <formula>AND(AA$9&gt;=14/24,AA$9&lt;20/24)</formula>
    </cfRule>
    <cfRule type="expression" dxfId="4549" priority="271">
      <formula>AND(AA$9&gt;=8/24,AA$9&lt;14/24)</formula>
    </cfRule>
    <cfRule type="expression" dxfId="4548" priority="272">
      <formula>AA$9&lt;8/24</formula>
    </cfRule>
  </conditionalFormatting>
  <conditionalFormatting sqref="AA100:AC106">
    <cfRule type="expression" dxfId="4547" priority="265">
      <formula>AA$9&gt;=20/24</formula>
    </cfRule>
    <cfRule type="expression" dxfId="4546" priority="266">
      <formula>AND(AA$9&gt;=14/24,AA$9&lt;20/24)</formula>
    </cfRule>
    <cfRule type="expression" dxfId="4545" priority="267">
      <formula>AND(AA$9&gt;=8/24,AA$9&lt;14/24)</formula>
    </cfRule>
    <cfRule type="expression" dxfId="4544" priority="268">
      <formula>AA$9&lt;8/24</formula>
    </cfRule>
  </conditionalFormatting>
  <conditionalFormatting sqref="M47:S47">
    <cfRule type="expression" dxfId="4543" priority="257">
      <formula>M$9&gt;=20/24</formula>
    </cfRule>
    <cfRule type="expression" dxfId="4542" priority="258">
      <formula>AND(M$9&gt;=14/24,M$9&lt;20/24)</formula>
    </cfRule>
    <cfRule type="expression" dxfId="4541" priority="259">
      <formula>AND(M$9&gt;=8/24,M$9&lt;14/24)</formula>
    </cfRule>
    <cfRule type="expression" dxfId="4540" priority="260">
      <formula>M$9&lt;8/24</formula>
    </cfRule>
  </conditionalFormatting>
  <conditionalFormatting sqref="M47:S47">
    <cfRule type="expression" dxfId="4539" priority="256">
      <formula>M47&gt;$AG47</formula>
    </cfRule>
  </conditionalFormatting>
  <conditionalFormatting sqref="M96:W96 N67:S69 M74:X75 M83:AF85 Y75:AF76">
    <cfRule type="expression" dxfId="4538" priority="239">
      <formula>M$9&gt;=20/24</formula>
    </cfRule>
    <cfRule type="expression" dxfId="4537" priority="240">
      <formula>AND(M$9&gt;=14/24,M$9&lt;20/24)</formula>
    </cfRule>
    <cfRule type="expression" dxfId="4536" priority="241">
      <formula>AND(M$9&gt;=8/24,M$9&lt;14/24)</formula>
    </cfRule>
    <cfRule type="expression" dxfId="4535" priority="242">
      <formula>M$9&lt;8/24</formula>
    </cfRule>
  </conditionalFormatting>
  <conditionalFormatting sqref="N67:S69">
    <cfRule type="expression" dxfId="4534" priority="238">
      <formula>N67&gt;$AG67</formula>
    </cfRule>
  </conditionalFormatting>
  <conditionalFormatting sqref="B54:L57 B71:L71">
    <cfRule type="expression" dxfId="4533" priority="152">
      <formula>B$9&gt;=20/24</formula>
    </cfRule>
    <cfRule type="expression" dxfId="4532" priority="153">
      <formula>AND(B$9&gt;=14/24,B$9&lt;20/24)</formula>
    </cfRule>
    <cfRule type="expression" dxfId="4531" priority="154">
      <formula>AND(B$9&gt;=8/24,B$9&lt;14/24)</formula>
    </cfRule>
    <cfRule type="expression" dxfId="4530" priority="155">
      <formula>B$9&lt;8/24</formula>
    </cfRule>
  </conditionalFormatting>
  <conditionalFormatting sqref="F98:AF98 M70:AF70 M87:AF87 M89:AF89">
    <cfRule type="expression" dxfId="4529" priority="224">
      <formula>F$9&gt;=20/24</formula>
    </cfRule>
    <cfRule type="expression" dxfId="4528" priority="225">
      <formula>AND(F$9&gt;=14/24,F$9&lt;20/24)</formula>
    </cfRule>
    <cfRule type="expression" dxfId="4527" priority="226">
      <formula>AND(F$9&gt;=8/24,F$9&lt;14/24)</formula>
    </cfRule>
    <cfRule type="expression" dxfId="4526" priority="227">
      <formula>F$9&lt;8/24</formula>
    </cfRule>
  </conditionalFormatting>
  <conditionalFormatting sqref="M48:AF48 M70:AF70 M65:AF66">
    <cfRule type="expression" dxfId="4525" priority="223">
      <formula>M48&gt;$AG48</formula>
    </cfRule>
  </conditionalFormatting>
  <conditionalFormatting sqref="M82:AF82">
    <cfRule type="expression" dxfId="4524" priority="219">
      <formula>M$9&gt;=20/24</formula>
    </cfRule>
    <cfRule type="expression" dxfId="4523" priority="220">
      <formula>AND(M$9&gt;=14/24,M$9&lt;20/24)</formula>
    </cfRule>
    <cfRule type="expression" dxfId="4522" priority="221">
      <formula>AND(M$9&gt;=8/24,M$9&lt;14/24)</formula>
    </cfRule>
    <cfRule type="expression" dxfId="4521" priority="222">
      <formula>M$9&lt;8/24</formula>
    </cfRule>
  </conditionalFormatting>
  <conditionalFormatting sqref="M91:W95">
    <cfRule type="expression" dxfId="4520" priority="215">
      <formula>M$9&gt;=20/24</formula>
    </cfRule>
    <cfRule type="expression" dxfId="4519" priority="216">
      <formula>AND(M$9&gt;=14/24,M$9&lt;20/24)</formula>
    </cfRule>
    <cfRule type="expression" dxfId="4518" priority="217">
      <formula>AND(M$9&gt;=8/24,M$9&lt;14/24)</formula>
    </cfRule>
    <cfRule type="expression" dxfId="4517" priority="218">
      <formula>M$9&lt;8/24</formula>
    </cfRule>
  </conditionalFormatting>
  <conditionalFormatting sqref="M52:AF52">
    <cfRule type="expression" dxfId="4516" priority="206">
      <formula>M$9&gt;=20/24</formula>
    </cfRule>
    <cfRule type="expression" dxfId="4515" priority="207">
      <formula>AND(M$9&gt;=14/24,M$9&lt;20/24)</formula>
    </cfRule>
    <cfRule type="expression" dxfId="4514" priority="208">
      <formula>AND(M$9&gt;=8/24,M$9&lt;14/24)</formula>
    </cfRule>
    <cfRule type="expression" dxfId="4513" priority="209">
      <formula>M$9&lt;8/24</formula>
    </cfRule>
  </conditionalFormatting>
  <conditionalFormatting sqref="M52:AF52">
    <cfRule type="expression" dxfId="4512" priority="205">
      <formula>M52&gt;$AG52</formula>
    </cfRule>
  </conditionalFormatting>
  <conditionalFormatting sqref="B49:L51">
    <cfRule type="expression" dxfId="4511" priority="120">
      <formula>B$9&gt;=20/24</formula>
    </cfRule>
    <cfRule type="expression" dxfId="4510" priority="121">
      <formula>AND(B$9&gt;=14/24,B$9&lt;20/24)</formula>
    </cfRule>
    <cfRule type="expression" dxfId="4509" priority="122">
      <formula>AND(B$9&gt;=8/24,B$9&lt;14/24)</formula>
    </cfRule>
    <cfRule type="expression" dxfId="4508" priority="123">
      <formula>B$9&lt;8/24</formula>
    </cfRule>
  </conditionalFormatting>
  <conditionalFormatting sqref="Y59:AF64">
    <cfRule type="expression" dxfId="4507" priority="193">
      <formula>Y$9&gt;=20/24</formula>
    </cfRule>
    <cfRule type="expression" dxfId="4506" priority="194">
      <formula>AND(Y$9&gt;=14/24,Y$9&lt;20/24)</formula>
    </cfRule>
    <cfRule type="expression" dxfId="4505" priority="195">
      <formula>AND(Y$9&gt;=8/24,Y$9&lt;14/24)</formula>
    </cfRule>
    <cfRule type="expression" dxfId="4504" priority="196">
      <formula>Y$9&lt;8/24</formula>
    </cfRule>
  </conditionalFormatting>
  <conditionalFormatting sqref="Y59:AF64">
    <cfRule type="expression" dxfId="4503" priority="192">
      <formula>Y59&gt;$AG59</formula>
    </cfRule>
  </conditionalFormatting>
  <conditionalFormatting sqref="Y77:AF81">
    <cfRule type="expression" dxfId="4502" priority="174">
      <formula>Y$9&gt;=20/24</formula>
    </cfRule>
    <cfRule type="expression" dxfId="4501" priority="175">
      <formula>AND(Y$9&gt;=14/24,Y$9&lt;20/24)</formula>
    </cfRule>
    <cfRule type="expression" dxfId="4500" priority="176">
      <formula>AND(Y$9&gt;=8/24,Y$9&lt;14/24)</formula>
    </cfRule>
    <cfRule type="expression" dxfId="4499" priority="177">
      <formula>Y$9&lt;8/24</formula>
    </cfRule>
  </conditionalFormatting>
  <conditionalFormatting sqref="AL78:AN78 AL84:AN84 AN79:AN80">
    <cfRule type="expression" dxfId="4498" priority="170">
      <formula>AL$9&gt;=20/24</formula>
    </cfRule>
    <cfRule type="expression" dxfId="4497" priority="171">
      <formula>AND(AL$9&gt;=14/24,AL$9&lt;20/24)</formula>
    </cfRule>
    <cfRule type="expression" dxfId="4496" priority="172">
      <formula>AND(AL$9&gt;=8/24,AL$9&lt;14/24)</formula>
    </cfRule>
    <cfRule type="expression" dxfId="4495" priority="173">
      <formula>AL$9&lt;8/24</formula>
    </cfRule>
  </conditionalFormatting>
  <conditionalFormatting sqref="AN81:AN82">
    <cfRule type="expression" dxfId="4494" priority="166">
      <formula>AN$9&gt;=20/24</formula>
    </cfRule>
    <cfRule type="expression" dxfId="4493" priority="167">
      <formula>AND(AN$9&gt;=14/24,AN$9&lt;20/24)</formula>
    </cfRule>
    <cfRule type="expression" dxfId="4492" priority="168">
      <formula>AND(AN$9&gt;=8/24,AN$9&lt;14/24)</formula>
    </cfRule>
    <cfRule type="expression" dxfId="4491" priority="169">
      <formula>AN$9&lt;8/24</formula>
    </cfRule>
  </conditionalFormatting>
  <conditionalFormatting sqref="AL79:AM83">
    <cfRule type="expression" dxfId="4490" priority="402">
      <formula>AJ$9&gt;=20/24</formula>
    </cfRule>
    <cfRule type="expression" dxfId="4489" priority="403">
      <formula>AND(AJ$9&gt;=14/24,AJ$9&lt;20/24)</formula>
    </cfRule>
    <cfRule type="expression" dxfId="4488" priority="404">
      <formula>AND(AJ$9&gt;=8/24,AJ$9&lt;14/24)</formula>
    </cfRule>
    <cfRule type="expression" dxfId="4487" priority="405">
      <formula>AJ$9&lt;8/24</formula>
    </cfRule>
  </conditionalFormatting>
  <conditionalFormatting sqref="A117">
    <cfRule type="expression" dxfId="4486" priority="165">
      <formula>$AH117=0</formula>
    </cfRule>
  </conditionalFormatting>
  <conditionalFormatting sqref="B109:E109 B111:E116 B12:X15 B17:X32 B34:X43 B45:X45">
    <cfRule type="expression" dxfId="4485" priority="161">
      <formula>B$9&gt;=20/24</formula>
    </cfRule>
    <cfRule type="expression" dxfId="4484" priority="162">
      <formula>AND(B$9&gt;=14/24,B$9&lt;20/24)</formula>
    </cfRule>
    <cfRule type="expression" dxfId="4483" priority="163">
      <formula>AND(B$9&gt;=8/24,B$9&lt;14/24)</formula>
    </cfRule>
    <cfRule type="expression" dxfId="4482" priority="164">
      <formula>B$9&lt;8/24</formula>
    </cfRule>
  </conditionalFormatting>
  <conditionalFormatting sqref="B12:X15 B17:X32 B34:X43 B45:X45">
    <cfRule type="expression" dxfId="4481" priority="160">
      <formula>B12&gt;$AG12</formula>
    </cfRule>
  </conditionalFormatting>
  <conditionalFormatting sqref="B99:E99">
    <cfRule type="expression" dxfId="4480" priority="156">
      <formula>B$9&gt;=20/24</formula>
    </cfRule>
    <cfRule type="expression" dxfId="4479" priority="157">
      <formula>AND(B$9&gt;=14/24,B$9&lt;20/24)</formula>
    </cfRule>
    <cfRule type="expression" dxfId="4478" priority="158">
      <formula>AND(B$9&gt;=8/24,B$9&lt;14/24)</formula>
    </cfRule>
    <cfRule type="expression" dxfId="4477" priority="159">
      <formula>B$9&lt;8/24</formula>
    </cfRule>
  </conditionalFormatting>
  <conditionalFormatting sqref="B53:L53">
    <cfRule type="expression" dxfId="4476" priority="148">
      <formula>B$9&gt;=20/24</formula>
    </cfRule>
    <cfRule type="expression" dxfId="4475" priority="149">
      <formula>AND(B$9&gt;=14/24,B$9&lt;20/24)</formula>
    </cfRule>
    <cfRule type="expression" dxfId="4474" priority="150">
      <formula>AND(B$9&gt;=8/24,B$9&lt;14/24)</formula>
    </cfRule>
    <cfRule type="expression" dxfId="4473" priority="151">
      <formula>B$9&lt;8/24</formula>
    </cfRule>
  </conditionalFormatting>
  <conditionalFormatting sqref="B53:L57">
    <cfRule type="expression" dxfId="4472" priority="147">
      <formula>B53&gt;$AG53</formula>
    </cfRule>
  </conditionalFormatting>
  <conditionalFormatting sqref="B100:F106 B96:L96 B86:L86 B47:L47 B72:L74 B67:M69">
    <cfRule type="expression" dxfId="4471" priority="143">
      <formula>B$9&gt;=20/24</formula>
    </cfRule>
    <cfRule type="expression" dxfId="4470" priority="144">
      <formula>AND(B$9&gt;=14/24,B$9&lt;20/24)</formula>
    </cfRule>
    <cfRule type="expression" dxfId="4469" priority="145">
      <formula>AND(B$9&gt;=8/24,B$9&lt;14/24)</formula>
    </cfRule>
    <cfRule type="expression" dxfId="4468" priority="146">
      <formula>B$9&lt;8/24</formula>
    </cfRule>
  </conditionalFormatting>
  <conditionalFormatting sqref="B47:L47 B67:M69">
    <cfRule type="expression" dxfId="4467" priority="142">
      <formula>B47&gt;$AG47</formula>
    </cfRule>
  </conditionalFormatting>
  <conditionalFormatting sqref="B97:E97 B88:M88">
    <cfRule type="expression" dxfId="4466" priority="138">
      <formula>B$9&gt;=20/24</formula>
    </cfRule>
    <cfRule type="expression" dxfId="4465" priority="139">
      <formula>AND(B$9&gt;=14/24,B$9&lt;20/24)</formula>
    </cfRule>
    <cfRule type="expression" dxfId="4464" priority="140">
      <formula>AND(B$9&gt;=8/24,B$9&lt;14/24)</formula>
    </cfRule>
    <cfRule type="expression" dxfId="4463" priority="141">
      <formula>B$9&lt;8/24</formula>
    </cfRule>
  </conditionalFormatting>
  <conditionalFormatting sqref="B46:X46">
    <cfRule type="expression" dxfId="4462" priority="134">
      <formula>B$9&gt;=20/24</formula>
    </cfRule>
    <cfRule type="expression" dxfId="4461" priority="135">
      <formula>AND(B$9&gt;=14/24,B$9&lt;20/24)</formula>
    </cfRule>
    <cfRule type="expression" dxfId="4460" priority="136">
      <formula>AND(B$9&gt;=8/24,B$9&lt;14/24)</formula>
    </cfRule>
    <cfRule type="expression" dxfId="4459" priority="137">
      <formula>B$9&lt;8/24</formula>
    </cfRule>
  </conditionalFormatting>
  <conditionalFormatting sqref="B46:X46">
    <cfRule type="expression" dxfId="4458" priority="133">
      <formula>B46&gt;$AG46</formula>
    </cfRule>
  </conditionalFormatting>
  <conditionalFormatting sqref="B58:L58">
    <cfRule type="expression" dxfId="4457" priority="129">
      <formula>B$9&gt;=20/24</formula>
    </cfRule>
    <cfRule type="expression" dxfId="4456" priority="130">
      <formula>AND(B$9&gt;=14/24,B$9&lt;20/24)</formula>
    </cfRule>
    <cfRule type="expression" dxfId="4455" priority="131">
      <formula>AND(B$9&gt;=8/24,B$9&lt;14/24)</formula>
    </cfRule>
    <cfRule type="expression" dxfId="4454" priority="132">
      <formula>B$9&lt;8/24</formula>
    </cfRule>
  </conditionalFormatting>
  <conditionalFormatting sqref="B58:L58">
    <cfRule type="expression" dxfId="4453" priority="128">
      <formula>B58&gt;$AG58</formula>
    </cfRule>
  </conditionalFormatting>
  <conditionalFormatting sqref="B91:L95">
    <cfRule type="expression" dxfId="4452" priority="124">
      <formula>B$9&gt;=20/24</formula>
    </cfRule>
    <cfRule type="expression" dxfId="4451" priority="125">
      <formula>AND(B$9&gt;=14/24,B$9&lt;20/24)</formula>
    </cfRule>
    <cfRule type="expression" dxfId="4450" priority="126">
      <formula>AND(B$9&gt;=8/24,B$9&lt;14/24)</formula>
    </cfRule>
    <cfRule type="expression" dxfId="4449" priority="127">
      <formula>B$9&lt;8/24</formula>
    </cfRule>
  </conditionalFormatting>
  <conditionalFormatting sqref="B49:L51">
    <cfRule type="expression" dxfId="4448" priority="119">
      <formula>B49&gt;$AG49</formula>
    </cfRule>
  </conditionalFormatting>
  <conditionalFormatting sqref="B107:E107">
    <cfRule type="expression" dxfId="4447" priority="115">
      <formula>B$9&gt;=20/24</formula>
    </cfRule>
    <cfRule type="expression" dxfId="4446" priority="116">
      <formula>AND(B$9&gt;=14/24,B$9&lt;20/24)</formula>
    </cfRule>
    <cfRule type="expression" dxfId="4445" priority="117">
      <formula>AND(B$9&gt;=8/24,B$9&lt;14/24)</formula>
    </cfRule>
    <cfRule type="expression" dxfId="4444" priority="118">
      <formula>B$9&lt;8/24</formula>
    </cfRule>
  </conditionalFormatting>
  <conditionalFormatting sqref="B110:E110">
    <cfRule type="expression" dxfId="4443" priority="111">
      <formula>B$9&gt;=20/24</formula>
    </cfRule>
    <cfRule type="expression" dxfId="4442" priority="112">
      <formula>AND(B$9&gt;=14/24,B$9&lt;20/24)</formula>
    </cfRule>
    <cfRule type="expression" dxfId="4441" priority="113">
      <formula>AND(B$9&gt;=8/24,B$9&lt;14/24)</formula>
    </cfRule>
    <cfRule type="expression" dxfId="4440" priority="114">
      <formula>B$9&lt;8/24</formula>
    </cfRule>
  </conditionalFormatting>
  <conditionalFormatting sqref="B83:L85 B75:L76 M76:X76">
    <cfRule type="expression" dxfId="4439" priority="107">
      <formula>B$9&gt;=20/24</formula>
    </cfRule>
    <cfRule type="expression" dxfId="4438" priority="108">
      <formula>AND(B$9&gt;=14/24,B$9&lt;20/24)</formula>
    </cfRule>
    <cfRule type="expression" dxfId="4437" priority="109">
      <formula>AND(B$9&gt;=8/24,B$9&lt;14/24)</formula>
    </cfRule>
    <cfRule type="expression" dxfId="4436" priority="110">
      <formula>B$9&lt;8/24</formula>
    </cfRule>
  </conditionalFormatting>
  <conditionalFormatting sqref="B98:E98 B89:L89 B70:L70 B87:L87">
    <cfRule type="expression" dxfId="4435" priority="103">
      <formula>B$9&gt;=20/24</formula>
    </cfRule>
    <cfRule type="expression" dxfId="4434" priority="104">
      <formula>AND(B$9&gt;=14/24,B$9&lt;20/24)</formula>
    </cfRule>
    <cfRule type="expression" dxfId="4433" priority="105">
      <formula>AND(B$9&gt;=8/24,B$9&lt;14/24)</formula>
    </cfRule>
    <cfRule type="expression" dxfId="4432" priority="106">
      <formula>B$9&lt;8/24</formula>
    </cfRule>
  </conditionalFormatting>
  <conditionalFormatting sqref="B48:L48 B65:L66 B70:L70">
    <cfRule type="expression" dxfId="4431" priority="102">
      <formula>B48&gt;$AG48</formula>
    </cfRule>
  </conditionalFormatting>
  <conditionalFormatting sqref="B82:L82">
    <cfRule type="expression" dxfId="4430" priority="98">
      <formula>B$9&gt;=20/24</formula>
    </cfRule>
    <cfRule type="expression" dxfId="4429" priority="99">
      <formula>AND(B$9&gt;=14/24,B$9&lt;20/24)</formula>
    </cfRule>
    <cfRule type="expression" dxfId="4428" priority="100">
      <formula>AND(B$9&gt;=8/24,B$9&lt;14/24)</formula>
    </cfRule>
    <cfRule type="expression" dxfId="4427" priority="101">
      <formula>B$9&lt;8/24</formula>
    </cfRule>
  </conditionalFormatting>
  <conditionalFormatting sqref="B52:L52">
    <cfRule type="expression" dxfId="4426" priority="94">
      <formula>B$9&gt;=20/24</formula>
    </cfRule>
    <cfRule type="expression" dxfId="4425" priority="95">
      <formula>AND(B$9&gt;=14/24,B$9&lt;20/24)</formula>
    </cfRule>
    <cfRule type="expression" dxfId="4424" priority="96">
      <formula>AND(B$9&gt;=8/24,B$9&lt;14/24)</formula>
    </cfRule>
    <cfRule type="expression" dxfId="4423" priority="97">
      <formula>B$9&lt;8/24</formula>
    </cfRule>
  </conditionalFormatting>
  <conditionalFormatting sqref="B52:L52">
    <cfRule type="expression" dxfId="4422" priority="93">
      <formula>B52&gt;$AG52</formula>
    </cfRule>
  </conditionalFormatting>
  <conditionalFormatting sqref="B59:X64">
    <cfRule type="expression" dxfId="4421" priority="85">
      <formula>B$9&gt;=20/24</formula>
    </cfRule>
    <cfRule type="expression" dxfId="4420" priority="86">
      <formula>AND(B$9&gt;=14/24,B$9&lt;20/24)</formula>
    </cfRule>
    <cfRule type="expression" dxfId="4419" priority="87">
      <formula>AND(B$9&gt;=8/24,B$9&lt;14/24)</formula>
    </cfRule>
    <cfRule type="expression" dxfId="4418" priority="88">
      <formula>B$9&lt;8/24</formula>
    </cfRule>
  </conditionalFormatting>
  <conditionalFormatting sqref="B59:X64">
    <cfRule type="expression" dxfId="4417" priority="84">
      <formula>B59&gt;$AG59</formula>
    </cfRule>
  </conditionalFormatting>
  <conditionalFormatting sqref="B77:X81">
    <cfRule type="expression" dxfId="4416" priority="80">
      <formula>B$9&gt;=20/24</formula>
    </cfRule>
    <cfRule type="expression" dxfId="4415" priority="81">
      <formula>AND(B$9&gt;=14/24,B$9&lt;20/24)</formula>
    </cfRule>
    <cfRule type="expression" dxfId="4414" priority="82">
      <formula>AND(B$9&gt;=8/24,B$9&lt;14/24)</formula>
    </cfRule>
    <cfRule type="expression" dxfId="4413" priority="83">
      <formula>B$9&lt;8/24</formula>
    </cfRule>
  </conditionalFormatting>
  <conditionalFormatting sqref="Y11:AF11">
    <cfRule type="expression" dxfId="4412" priority="76">
      <formula>Y$9&gt;=20/24</formula>
    </cfRule>
    <cfRule type="expression" dxfId="4411" priority="77">
      <formula>AND(Y$9&gt;=14/24,Y$9&lt;20/24)</formula>
    </cfRule>
    <cfRule type="expression" dxfId="4410" priority="78">
      <formula>AND(Y$9&gt;=8/24,Y$9&lt;14/24)</formula>
    </cfRule>
    <cfRule type="expression" dxfId="4409" priority="79">
      <formula>Y$9&lt;8/24</formula>
    </cfRule>
  </conditionalFormatting>
  <conditionalFormatting sqref="Y11:AF11">
    <cfRule type="expression" dxfId="4408" priority="75">
      <formula>Y11&gt;$AG11</formula>
    </cfRule>
  </conditionalFormatting>
  <conditionalFormatting sqref="A11">
    <cfRule type="expression" dxfId="4407" priority="74">
      <formula>$AH11=0</formula>
    </cfRule>
  </conditionalFormatting>
  <conditionalFormatting sqref="B11:X11">
    <cfRule type="expression" dxfId="4406" priority="65">
      <formula>B$9&gt;=20/24</formula>
    </cfRule>
    <cfRule type="expression" dxfId="4405" priority="66">
      <formula>AND(B$9&gt;=14/24,B$9&lt;20/24)</formula>
    </cfRule>
    <cfRule type="expression" dxfId="4404" priority="67">
      <formula>AND(B$9&gt;=8/24,B$9&lt;14/24)</formula>
    </cfRule>
    <cfRule type="expression" dxfId="4403" priority="68">
      <formula>B$9&lt;8/24</formula>
    </cfRule>
  </conditionalFormatting>
  <conditionalFormatting sqref="B11:X11">
    <cfRule type="expression" dxfId="4402" priority="64">
      <formula>B11&gt;$AG11</formula>
    </cfRule>
  </conditionalFormatting>
  <conditionalFormatting sqref="Y16:AF16">
    <cfRule type="expression" dxfId="4401" priority="59">
      <formula>Y$9&gt;=20/24</formula>
    </cfRule>
    <cfRule type="expression" dxfId="4400" priority="60">
      <formula>AND(Y$9&gt;=14/24,Y$9&lt;20/24)</formula>
    </cfRule>
    <cfRule type="expression" dxfId="4399" priority="61">
      <formula>AND(Y$9&gt;=8/24,Y$9&lt;14/24)</formula>
    </cfRule>
    <cfRule type="expression" dxfId="4398" priority="62">
      <formula>Y$9&lt;8/24</formula>
    </cfRule>
  </conditionalFormatting>
  <conditionalFormatting sqref="Y16:AF16">
    <cfRule type="expression" dxfId="4397" priority="58">
      <formula>Y16&gt;$AG16</formula>
    </cfRule>
  </conditionalFormatting>
  <conditionalFormatting sqref="A16">
    <cfRule type="expression" dxfId="4396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6:X16">
    <cfRule type="expression" dxfId="4395" priority="48">
      <formula>B$9&gt;=20/24</formula>
    </cfRule>
    <cfRule type="expression" dxfId="4394" priority="49">
      <formula>AND(B$9&gt;=14/24,B$9&lt;20/24)</formula>
    </cfRule>
    <cfRule type="expression" dxfId="4393" priority="50">
      <formula>AND(B$9&gt;=8/24,B$9&lt;14/24)</formula>
    </cfRule>
    <cfRule type="expression" dxfId="4392" priority="51">
      <formula>B$9&lt;8/24</formula>
    </cfRule>
  </conditionalFormatting>
  <conditionalFormatting sqref="B16:X16">
    <cfRule type="expression" dxfId="4391" priority="47">
      <formula>B16&gt;$AG16</formula>
    </cfRule>
  </conditionalFormatting>
  <conditionalFormatting sqref="Y33:AF33">
    <cfRule type="expression" dxfId="4390" priority="42">
      <formula>Y$9&gt;=20/24</formula>
    </cfRule>
    <cfRule type="expression" dxfId="4389" priority="43">
      <formula>AND(Y$9&gt;=14/24,Y$9&lt;20/24)</formula>
    </cfRule>
    <cfRule type="expression" dxfId="4388" priority="44">
      <formula>AND(Y$9&gt;=8/24,Y$9&lt;14/24)</formula>
    </cfRule>
    <cfRule type="expression" dxfId="4387" priority="45">
      <formula>Y$9&lt;8/24</formula>
    </cfRule>
  </conditionalFormatting>
  <conditionalFormatting sqref="Y33:AF33">
    <cfRule type="expression" dxfId="4386" priority="41">
      <formula>Y33&gt;$AG33</formula>
    </cfRule>
  </conditionalFormatting>
  <conditionalFormatting sqref="A33">
    <cfRule type="expression" dxfId="4385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4384" priority="31">
      <formula>B$9&gt;=20/24</formula>
    </cfRule>
    <cfRule type="expression" dxfId="4383" priority="32">
      <formula>AND(B$9&gt;=14/24,B$9&lt;20/24)</formula>
    </cfRule>
    <cfRule type="expression" dxfId="4382" priority="33">
      <formula>AND(B$9&gt;=8/24,B$9&lt;14/24)</formula>
    </cfRule>
    <cfRule type="expression" dxfId="4381" priority="34">
      <formula>B$9&lt;8/24</formula>
    </cfRule>
  </conditionalFormatting>
  <conditionalFormatting sqref="B33:X33">
    <cfRule type="expression" dxfId="4380" priority="30">
      <formula>B33&gt;$AG33</formula>
    </cfRule>
  </conditionalFormatting>
  <conditionalFormatting sqref="Y44:AF44">
    <cfRule type="expression" dxfId="4379" priority="25">
      <formula>Y$9&gt;=20/24</formula>
    </cfRule>
    <cfRule type="expression" dxfId="4378" priority="26">
      <formula>AND(Y$9&gt;=14/24,Y$9&lt;20/24)</formula>
    </cfRule>
    <cfRule type="expression" dxfId="4377" priority="27">
      <formula>AND(Y$9&gt;=8/24,Y$9&lt;14/24)</formula>
    </cfRule>
    <cfRule type="expression" dxfId="4376" priority="28">
      <formula>Y$9&lt;8/24</formula>
    </cfRule>
  </conditionalFormatting>
  <conditionalFormatting sqref="Y44:AF44">
    <cfRule type="expression" dxfId="4375" priority="24">
      <formula>Y44&gt;$AG44</formula>
    </cfRule>
  </conditionalFormatting>
  <conditionalFormatting sqref="A44">
    <cfRule type="expression" dxfId="4374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4373" priority="14">
      <formula>B$9&gt;=20/24</formula>
    </cfRule>
    <cfRule type="expression" dxfId="4372" priority="15">
      <formula>AND(B$9&gt;=14/24,B$9&lt;20/24)</formula>
    </cfRule>
    <cfRule type="expression" dxfId="4371" priority="16">
      <formula>AND(B$9&gt;=8/24,B$9&lt;14/24)</formula>
    </cfRule>
    <cfRule type="expression" dxfId="4370" priority="17">
      <formula>B$9&lt;8/24</formula>
    </cfRule>
  </conditionalFormatting>
  <conditionalFormatting sqref="B44:X44">
    <cfRule type="expression" dxfId="4369" priority="13">
      <formula>B44&gt;$AG44</formula>
    </cfRule>
  </conditionalFormatting>
  <conditionalFormatting sqref="B117:E117">
    <cfRule type="expression" dxfId="4368" priority="1">
      <formula>B$9&gt;=20/24</formula>
    </cfRule>
    <cfRule type="expression" dxfId="4367" priority="2">
      <formula>AND(B$9&gt;=14/24,B$9&lt;20/24)</formula>
    </cfRule>
    <cfRule type="expression" dxfId="4366" priority="3">
      <formula>AND(B$9&gt;=8/24,B$9&lt;14/24)</formula>
    </cfRule>
    <cfRule type="expression" dxfId="4365" priority="4">
      <formula>B$9&lt;8/24</formula>
    </cfRule>
  </conditionalFormatting>
  <conditionalFormatting sqref="F117:AF117">
    <cfRule type="expression" dxfId="4364" priority="9">
      <formula>F$9&gt;=20/24</formula>
    </cfRule>
    <cfRule type="expression" dxfId="4363" priority="10">
      <formula>AND(F$9&gt;=14/24,F$9&lt;20/24)</formula>
    </cfRule>
    <cfRule type="expression" dxfId="4362" priority="11">
      <formula>AND(F$9&gt;=8/24,F$9&lt;14/24)</formula>
    </cfRule>
    <cfRule type="expression" dxfId="4361" priority="12">
      <formula>F$9&lt;8/24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FE6158E9-A1E2-419C-A4F9-CE8889F38EF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B87B576C-7DEA-45C2-966A-1248FB85D8D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234BE102-9A4E-4DF2-BBED-E0D6060AD74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F10848EC-C119-4370-A53B-8D679390997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M90:AF90</xm:sqref>
        </x14:conditionalFormatting>
        <x14:conditionalFormatting xmlns:xm="http://schemas.microsoft.com/office/excel/2006/main">
          <x14:cfRule type="expression" priority="89" id="{F4EEE338-8C63-4615-9803-867068DBAC2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D5E20E98-ED93-478F-8B5A-79557A23DA0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51E41193-E171-4047-8049-3036F699D17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BAA9D99F-D2CD-4642-AADB-9FE49BCFA0D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B90:L90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8"/>
  <sheetViews>
    <sheetView zoomScale="70" zoomScaleNormal="70" workbookViewId="0">
      <pane ySplit="10" topLeftCell="A87" activePane="bottomLeft" state="frozen"/>
      <selection activeCell="Z85" sqref="Z85"/>
      <selection pane="bottomLeft" activeCell="AN114" sqref="AN1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2079/11/23</v>
      </c>
      <c r="C4" s="208"/>
      <c r="D4" s="208"/>
      <c r="E4" s="209" t="str">
        <f ca="1">"2079/"&amp;"11/"&amp;INT(MID(CELL("filename",G6),FIND("]",CELL("filename",G6))+1,200))</f>
        <v>2079/11/23</v>
      </c>
      <c r="F4" s="209"/>
      <c r="G4" s="209"/>
      <c r="H4" s="209" t="str">
        <f ca="1">TEXT(E4,"dddd")</f>
        <v>Thursday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316.2</v>
      </c>
      <c r="C5" s="30">
        <f t="shared" si="0"/>
        <v>316.3</v>
      </c>
      <c r="D5" s="30">
        <f t="shared" si="0"/>
        <v>318.8</v>
      </c>
      <c r="E5" s="30">
        <f t="shared" si="0"/>
        <v>321.89999999999998</v>
      </c>
      <c r="F5" s="30">
        <f t="shared" si="0"/>
        <v>347</v>
      </c>
      <c r="G5" s="30">
        <f t="shared" si="0"/>
        <v>384.3</v>
      </c>
      <c r="H5" s="30">
        <f t="shared" si="0"/>
        <v>399.8</v>
      </c>
      <c r="I5" s="30">
        <f t="shared" si="0"/>
        <v>409.9</v>
      </c>
      <c r="J5" s="30">
        <f t="shared" si="0"/>
        <v>374.8</v>
      </c>
      <c r="K5" s="30">
        <f t="shared" si="0"/>
        <v>300.5</v>
      </c>
      <c r="L5" s="30">
        <f t="shared" si="0"/>
        <v>267</v>
      </c>
      <c r="M5" s="30">
        <f t="shared" si="0"/>
        <v>273</v>
      </c>
      <c r="N5" s="30">
        <f t="shared" si="0"/>
        <v>195.4</v>
      </c>
      <c r="O5" s="30">
        <f t="shared" si="0"/>
        <v>185.7</v>
      </c>
      <c r="P5" s="30">
        <f t="shared" si="0"/>
        <v>189.7</v>
      </c>
      <c r="Q5" s="30">
        <f t="shared" si="0"/>
        <v>198</v>
      </c>
      <c r="R5" s="30">
        <f t="shared" si="0"/>
        <v>192.70000000000002</v>
      </c>
      <c r="S5" s="30">
        <f t="shared" si="0"/>
        <v>192.1</v>
      </c>
      <c r="T5" s="30">
        <f t="shared" si="0"/>
        <v>176.2</v>
      </c>
      <c r="U5" s="30">
        <f t="shared" si="0"/>
        <v>353.1</v>
      </c>
      <c r="V5" s="30">
        <f t="shared" si="0"/>
        <v>430</v>
      </c>
      <c r="W5" s="30">
        <f t="shared" si="0"/>
        <v>434</v>
      </c>
      <c r="X5" s="30">
        <f t="shared" si="0"/>
        <v>441.4</v>
      </c>
      <c r="Y5" s="30">
        <f t="shared" si="0"/>
        <v>429.5</v>
      </c>
      <c r="Z5" s="30">
        <f t="shared" si="0"/>
        <v>436.6</v>
      </c>
      <c r="AA5" s="30">
        <f t="shared" si="0"/>
        <v>383.2</v>
      </c>
      <c r="AB5" s="30">
        <f t="shared" si="0"/>
        <v>298</v>
      </c>
      <c r="AC5" s="30">
        <f t="shared" si="0"/>
        <v>297</v>
      </c>
      <c r="AD5" s="30">
        <f t="shared" si="0"/>
        <v>267</v>
      </c>
      <c r="AE5" s="30">
        <f t="shared" si="0"/>
        <v>244</v>
      </c>
      <c r="AF5" s="30">
        <f>B82</f>
        <v>375.4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1121MW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Load=795</v>
      </c>
      <c r="B7" s="35">
        <f t="shared" ref="B7:AF7" si="1">B89</f>
        <v>941.14</v>
      </c>
      <c r="C7" s="35">
        <f t="shared" si="1"/>
        <v>895.54</v>
      </c>
      <c r="D7" s="35">
        <f t="shared" si="1"/>
        <v>866.6400000000001</v>
      </c>
      <c r="E7" s="35">
        <f t="shared" si="1"/>
        <v>858.04</v>
      </c>
      <c r="F7" s="35">
        <f t="shared" si="1"/>
        <v>846.84</v>
      </c>
      <c r="G7" s="35">
        <f t="shared" si="1"/>
        <v>866.44</v>
      </c>
      <c r="H7" s="35">
        <f t="shared" si="1"/>
        <v>904.34000000000015</v>
      </c>
      <c r="I7" s="35">
        <f t="shared" si="1"/>
        <v>965.63999999999987</v>
      </c>
      <c r="J7" s="35">
        <f t="shared" si="1"/>
        <v>1012.9399999999999</v>
      </c>
      <c r="K7" s="35">
        <f t="shared" si="1"/>
        <v>1045.6400000000001</v>
      </c>
      <c r="L7" s="35">
        <f t="shared" si="1"/>
        <v>1120.6399999999999</v>
      </c>
      <c r="M7" s="35">
        <f t="shared" si="1"/>
        <v>1017.1399999999999</v>
      </c>
      <c r="N7" s="35">
        <f>N89</f>
        <v>964.04</v>
      </c>
      <c r="O7" s="35">
        <f t="shared" si="1"/>
        <v>1010.2399999999999</v>
      </c>
      <c r="P7" s="35">
        <f t="shared" si="1"/>
        <v>966.93999999999983</v>
      </c>
      <c r="Q7" s="35">
        <f t="shared" si="1"/>
        <v>941.63999999999987</v>
      </c>
      <c r="R7" s="35">
        <f t="shared" si="1"/>
        <v>897.93999999999994</v>
      </c>
      <c r="S7" s="35">
        <f t="shared" si="1"/>
        <v>877.54</v>
      </c>
      <c r="T7" s="35">
        <f t="shared" si="1"/>
        <v>876.64</v>
      </c>
      <c r="U7" s="35">
        <f t="shared" si="1"/>
        <v>925.74</v>
      </c>
      <c r="V7" s="35">
        <f t="shared" si="1"/>
        <v>1023.4399999999999</v>
      </c>
      <c r="W7" s="35">
        <f t="shared" si="1"/>
        <v>1006.84</v>
      </c>
      <c r="X7" s="35">
        <f t="shared" si="1"/>
        <v>1080.3399999999999</v>
      </c>
      <c r="Y7" s="35">
        <f t="shared" si="1"/>
        <v>1235.8400000000001</v>
      </c>
      <c r="Z7" s="35">
        <f t="shared" si="1"/>
        <v>1253.74</v>
      </c>
      <c r="AA7" s="35">
        <f t="shared" si="1"/>
        <v>1166.94</v>
      </c>
      <c r="AB7" s="35">
        <f t="shared" si="1"/>
        <v>1075.94</v>
      </c>
      <c r="AC7" s="35">
        <f t="shared" si="1"/>
        <v>1041.74</v>
      </c>
      <c r="AD7" s="35">
        <f t="shared" si="1"/>
        <v>1007.74</v>
      </c>
      <c r="AE7" s="35">
        <f t="shared" si="1"/>
        <v>912.74</v>
      </c>
      <c r="AF7" s="35">
        <f t="shared" si="1"/>
        <v>794.74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25.2</v>
      </c>
      <c r="C11" s="45">
        <v>25.2</v>
      </c>
      <c r="D11" s="45">
        <v>25.2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25.2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25.2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14.3</v>
      </c>
      <c r="C12" s="45">
        <v>14.2</v>
      </c>
      <c r="D12" s="45">
        <v>14.2</v>
      </c>
      <c r="E12" s="45">
        <v>14.2</v>
      </c>
      <c r="F12" s="45">
        <v>14.2</v>
      </c>
      <c r="G12" s="45">
        <v>14.2</v>
      </c>
      <c r="H12" s="45">
        <v>14.2</v>
      </c>
      <c r="I12" s="45">
        <v>15.6</v>
      </c>
      <c r="J12" s="45">
        <v>15.6</v>
      </c>
      <c r="K12" s="45">
        <v>14.3</v>
      </c>
      <c r="L12" s="45">
        <v>13.5</v>
      </c>
      <c r="M12" s="45">
        <v>13.5</v>
      </c>
      <c r="N12" s="45">
        <v>13.5</v>
      </c>
      <c r="O12" s="45">
        <v>13.5</v>
      </c>
      <c r="P12" s="45">
        <v>13.5</v>
      </c>
      <c r="Q12" s="45">
        <v>13.5</v>
      </c>
      <c r="R12" s="45">
        <v>13.5</v>
      </c>
      <c r="S12" s="45">
        <v>13.6</v>
      </c>
      <c r="T12" s="45">
        <v>14</v>
      </c>
      <c r="U12" s="45">
        <v>13.9</v>
      </c>
      <c r="V12" s="45">
        <v>13.8</v>
      </c>
      <c r="W12" s="45">
        <v>13.8</v>
      </c>
      <c r="X12" s="45">
        <v>13.8</v>
      </c>
      <c r="Y12" s="45">
        <v>13.1</v>
      </c>
      <c r="Z12" s="45">
        <v>13.8</v>
      </c>
      <c r="AA12" s="45">
        <v>13.8</v>
      </c>
      <c r="AB12" s="45">
        <v>13.8</v>
      </c>
      <c r="AC12" s="45">
        <v>13.8</v>
      </c>
      <c r="AD12" s="45">
        <v>13.8</v>
      </c>
      <c r="AE12" s="45">
        <v>13.8</v>
      </c>
      <c r="AF12" s="45">
        <v>13.8</v>
      </c>
      <c r="AG12" s="46">
        <v>52.4</v>
      </c>
      <c r="AH12" s="47">
        <f t="shared" si="2"/>
        <v>15.6</v>
      </c>
      <c r="AI12" s="48">
        <f t="shared" si="3"/>
        <v>13.1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25.3</v>
      </c>
      <c r="C13" s="45">
        <v>25.3</v>
      </c>
      <c r="D13" s="45">
        <v>25.3</v>
      </c>
      <c r="E13" s="45">
        <v>25.3</v>
      </c>
      <c r="F13" s="45">
        <v>25.3</v>
      </c>
      <c r="G13" s="45">
        <v>25.3</v>
      </c>
      <c r="H13" s="45">
        <v>25.3</v>
      </c>
      <c r="I13" s="45">
        <v>25.4</v>
      </c>
      <c r="J13" s="45">
        <v>25.4</v>
      </c>
      <c r="K13" s="45">
        <v>25.4</v>
      </c>
      <c r="L13" s="45">
        <v>25.3</v>
      </c>
      <c r="M13" s="45">
        <v>25.3</v>
      </c>
      <c r="N13" s="45">
        <v>25.3</v>
      </c>
      <c r="O13" s="45">
        <v>25.3</v>
      </c>
      <c r="P13" s="45">
        <v>25.3</v>
      </c>
      <c r="Q13" s="45">
        <v>25.3</v>
      </c>
      <c r="R13" s="45">
        <v>25.3</v>
      </c>
      <c r="S13" s="45">
        <v>25.4</v>
      </c>
      <c r="T13" s="45">
        <v>25.5</v>
      </c>
      <c r="U13" s="45">
        <v>25.6</v>
      </c>
      <c r="V13" s="45">
        <v>25.6</v>
      </c>
      <c r="W13" s="45">
        <v>25.6</v>
      </c>
      <c r="X13" s="45">
        <v>25.6</v>
      </c>
      <c r="Y13" s="45">
        <v>25.5</v>
      </c>
      <c r="Z13" s="45">
        <v>25.6</v>
      </c>
      <c r="AA13" s="45">
        <v>25.6</v>
      </c>
      <c r="AB13" s="45">
        <v>25.6</v>
      </c>
      <c r="AC13" s="45">
        <v>25.6</v>
      </c>
      <c r="AD13" s="45">
        <v>25.6</v>
      </c>
      <c r="AE13" s="45">
        <v>25.6</v>
      </c>
      <c r="AF13" s="45">
        <v>25.6</v>
      </c>
      <c r="AG13" s="50">
        <v>50</v>
      </c>
      <c r="AH13" s="47">
        <f t="shared" si="2"/>
        <v>25.6</v>
      </c>
      <c r="AI13" s="48">
        <f t="shared" si="3"/>
        <v>25.3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15.5</v>
      </c>
      <c r="C14" s="45">
        <v>18.8</v>
      </c>
      <c r="D14" s="45">
        <v>18.8</v>
      </c>
      <c r="E14" s="45">
        <v>18.7</v>
      </c>
      <c r="F14" s="45">
        <v>18.7</v>
      </c>
      <c r="G14" s="45">
        <v>18.7</v>
      </c>
      <c r="H14" s="45">
        <v>18.7</v>
      </c>
      <c r="I14" s="45">
        <v>18</v>
      </c>
      <c r="J14" s="45">
        <v>18</v>
      </c>
      <c r="K14" s="45">
        <v>15.5</v>
      </c>
      <c r="L14" s="45">
        <v>15.2</v>
      </c>
      <c r="M14" s="45">
        <v>15.2</v>
      </c>
      <c r="N14" s="45">
        <v>15.2</v>
      </c>
      <c r="O14" s="45">
        <v>15.2</v>
      </c>
      <c r="P14" s="45">
        <v>15.2</v>
      </c>
      <c r="Q14" s="45">
        <v>15.2</v>
      </c>
      <c r="R14" s="45">
        <v>15.2</v>
      </c>
      <c r="S14" s="45">
        <v>15.3</v>
      </c>
      <c r="T14" s="45">
        <v>14.1</v>
      </c>
      <c r="U14" s="45">
        <v>14.2</v>
      </c>
      <c r="V14" s="45">
        <v>14.2</v>
      </c>
      <c r="W14" s="45">
        <v>14.2</v>
      </c>
      <c r="X14" s="45">
        <v>14.2</v>
      </c>
      <c r="Y14" s="45">
        <v>16</v>
      </c>
      <c r="Z14" s="45">
        <v>14.2</v>
      </c>
      <c r="AA14" s="45">
        <v>14.2</v>
      </c>
      <c r="AB14" s="45">
        <v>14.2</v>
      </c>
      <c r="AC14" s="45">
        <v>14.2</v>
      </c>
      <c r="AD14" s="45">
        <v>14.2</v>
      </c>
      <c r="AE14" s="45">
        <v>14.2</v>
      </c>
      <c r="AF14" s="45">
        <v>14.2</v>
      </c>
      <c r="AG14" s="50">
        <v>45</v>
      </c>
      <c r="AH14" s="47">
        <f t="shared" si="2"/>
        <v>18.8</v>
      </c>
      <c r="AI14" s="48">
        <f t="shared" si="3"/>
        <v>14.1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</v>
      </c>
      <c r="Q15" s="45">
        <v>8</v>
      </c>
      <c r="R15" s="45">
        <v>8</v>
      </c>
      <c r="S15" s="45">
        <v>8</v>
      </c>
      <c r="T15" s="45">
        <v>8</v>
      </c>
      <c r="U15" s="45">
        <v>8</v>
      </c>
      <c r="V15" s="45">
        <v>8</v>
      </c>
      <c r="W15" s="45">
        <v>8</v>
      </c>
      <c r="X15" s="45">
        <v>8</v>
      </c>
      <c r="Y15" s="45">
        <v>8</v>
      </c>
      <c r="Z15" s="45">
        <v>8</v>
      </c>
      <c r="AA15" s="45">
        <v>8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12.6</v>
      </c>
      <c r="C17" s="45">
        <v>12.6</v>
      </c>
      <c r="D17" s="45">
        <v>12.6</v>
      </c>
      <c r="E17" s="45">
        <v>12.6</v>
      </c>
      <c r="F17" s="45">
        <v>12.6</v>
      </c>
      <c r="G17" s="45">
        <v>12.6</v>
      </c>
      <c r="H17" s="45">
        <v>12.6</v>
      </c>
      <c r="I17" s="45">
        <v>12.6</v>
      </c>
      <c r="J17" s="45">
        <v>12.6</v>
      </c>
      <c r="K17" s="45">
        <v>12.6</v>
      </c>
      <c r="L17" s="45">
        <v>12.6</v>
      </c>
      <c r="M17" s="45">
        <v>12.6</v>
      </c>
      <c r="N17" s="45">
        <v>12.6</v>
      </c>
      <c r="O17" s="45">
        <v>12.6</v>
      </c>
      <c r="P17" s="45">
        <v>12.6</v>
      </c>
      <c r="Q17" s="45">
        <v>12.6</v>
      </c>
      <c r="R17" s="45">
        <v>12.6</v>
      </c>
      <c r="S17" s="45">
        <v>12.6</v>
      </c>
      <c r="T17" s="45">
        <v>12.6</v>
      </c>
      <c r="U17" s="45">
        <v>12.6</v>
      </c>
      <c r="V17" s="45">
        <v>12.6</v>
      </c>
      <c r="W17" s="45">
        <v>12.6</v>
      </c>
      <c r="X17" s="45">
        <v>12.6</v>
      </c>
      <c r="Y17" s="45">
        <v>12.6</v>
      </c>
      <c r="Z17" s="45">
        <v>12.6</v>
      </c>
      <c r="AA17" s="45">
        <v>12.6</v>
      </c>
      <c r="AB17" s="45">
        <v>12.6</v>
      </c>
      <c r="AC17" s="45">
        <v>12.6</v>
      </c>
      <c r="AD17" s="45">
        <v>12.6</v>
      </c>
      <c r="AE17" s="45">
        <v>12.6</v>
      </c>
      <c r="AF17" s="45">
        <v>12.6</v>
      </c>
      <c r="AG17" s="50">
        <v>36</v>
      </c>
      <c r="AH17" s="47">
        <f t="shared" si="2"/>
        <v>12.6</v>
      </c>
      <c r="AI17" s="48">
        <f t="shared" si="3"/>
        <v>12.6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7.2</v>
      </c>
      <c r="C18" s="45">
        <v>7.2</v>
      </c>
      <c r="D18" s="45">
        <v>7.2</v>
      </c>
      <c r="E18" s="45">
        <v>7.2</v>
      </c>
      <c r="F18" s="45">
        <v>7.2</v>
      </c>
      <c r="G18" s="45">
        <v>7.2</v>
      </c>
      <c r="H18" s="45">
        <v>7.2</v>
      </c>
      <c r="I18" s="45">
        <v>7.2</v>
      </c>
      <c r="J18" s="45">
        <v>7.2</v>
      </c>
      <c r="K18" s="45">
        <v>7.2</v>
      </c>
      <c r="L18" s="45">
        <v>7.2</v>
      </c>
      <c r="M18" s="45">
        <v>7.2</v>
      </c>
      <c r="N18" s="45">
        <v>7.2</v>
      </c>
      <c r="O18" s="45">
        <v>7.2</v>
      </c>
      <c r="P18" s="45">
        <v>7.2</v>
      </c>
      <c r="Q18" s="45">
        <v>7.2</v>
      </c>
      <c r="R18" s="45">
        <v>7.2</v>
      </c>
      <c r="S18" s="45">
        <v>7.2</v>
      </c>
      <c r="T18" s="45">
        <v>7.2</v>
      </c>
      <c r="U18" s="45">
        <v>7.2</v>
      </c>
      <c r="V18" s="45">
        <v>7.2</v>
      </c>
      <c r="W18" s="45">
        <v>7.2</v>
      </c>
      <c r="X18" s="45">
        <v>7.2</v>
      </c>
      <c r="Y18" s="45">
        <v>8.3000000000000007</v>
      </c>
      <c r="Z18" s="45">
        <v>7.2</v>
      </c>
      <c r="AA18" s="45">
        <v>7.2</v>
      </c>
      <c r="AB18" s="45">
        <v>7.2</v>
      </c>
      <c r="AC18" s="45">
        <v>7.2</v>
      </c>
      <c r="AD18" s="45">
        <v>7.2</v>
      </c>
      <c r="AE18" s="45">
        <v>7.2</v>
      </c>
      <c r="AF18" s="45">
        <v>7.2</v>
      </c>
      <c r="AG18" s="51">
        <v>30</v>
      </c>
      <c r="AH18" s="47">
        <f t="shared" si="2"/>
        <v>8.3000000000000007</v>
      </c>
      <c r="AI18" s="48">
        <f t="shared" si="3"/>
        <v>7.2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6.7</v>
      </c>
      <c r="D19" s="45">
        <v>6.7</v>
      </c>
      <c r="E19" s="45">
        <v>6.7</v>
      </c>
      <c r="F19" s="45">
        <v>6.7</v>
      </c>
      <c r="G19" s="45">
        <v>6.7</v>
      </c>
      <c r="H19" s="45">
        <v>6.7</v>
      </c>
      <c r="I19" s="45">
        <v>6.7</v>
      </c>
      <c r="J19" s="45">
        <v>6.7</v>
      </c>
      <c r="K19" s="45">
        <v>6.7</v>
      </c>
      <c r="L19" s="45">
        <v>6.7</v>
      </c>
      <c r="M19" s="45">
        <v>6.7</v>
      </c>
      <c r="N19" s="45">
        <v>6.7</v>
      </c>
      <c r="O19" s="45">
        <v>6.7</v>
      </c>
      <c r="P19" s="45">
        <v>6.7</v>
      </c>
      <c r="Q19" s="45">
        <v>6.7</v>
      </c>
      <c r="R19" s="45">
        <v>6.7</v>
      </c>
      <c r="S19" s="45">
        <v>6.7</v>
      </c>
      <c r="T19" s="45">
        <v>6.7</v>
      </c>
      <c r="U19" s="45">
        <v>6.7</v>
      </c>
      <c r="V19" s="45">
        <v>6.7</v>
      </c>
      <c r="W19" s="45">
        <v>6.7</v>
      </c>
      <c r="X19" s="45">
        <v>6.7</v>
      </c>
      <c r="Y19" s="45">
        <v>7</v>
      </c>
      <c r="Z19" s="45">
        <v>6.7</v>
      </c>
      <c r="AA19" s="45">
        <v>6.7</v>
      </c>
      <c r="AB19" s="45">
        <v>6.7</v>
      </c>
      <c r="AC19" s="45">
        <v>6.7</v>
      </c>
      <c r="AD19" s="45">
        <v>6.7</v>
      </c>
      <c r="AE19" s="45">
        <v>6.7</v>
      </c>
      <c r="AF19" s="45">
        <v>6.7</v>
      </c>
      <c r="AG19" s="50">
        <v>24.2</v>
      </c>
      <c r="AH19" s="47">
        <f t="shared" si="2"/>
        <v>7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9.5</v>
      </c>
      <c r="C22" s="45">
        <v>9.1</v>
      </c>
      <c r="D22" s="45">
        <v>9.1</v>
      </c>
      <c r="E22" s="45">
        <v>9.1</v>
      </c>
      <c r="F22" s="45">
        <v>9.1</v>
      </c>
      <c r="G22" s="45">
        <v>9.1</v>
      </c>
      <c r="H22" s="45">
        <v>9.1</v>
      </c>
      <c r="I22" s="45">
        <v>9.1</v>
      </c>
      <c r="J22" s="45">
        <v>9.1</v>
      </c>
      <c r="K22" s="45">
        <v>9.1</v>
      </c>
      <c r="L22" s="45">
        <v>9.1</v>
      </c>
      <c r="M22" s="45">
        <v>9.1</v>
      </c>
      <c r="N22" s="45">
        <v>9.1</v>
      </c>
      <c r="O22" s="45">
        <v>9.1</v>
      </c>
      <c r="P22" s="45">
        <v>9.1</v>
      </c>
      <c r="Q22" s="45">
        <v>9.1</v>
      </c>
      <c r="R22" s="45">
        <v>9.1</v>
      </c>
      <c r="S22" s="45">
        <v>9.1</v>
      </c>
      <c r="T22" s="45">
        <v>9.1</v>
      </c>
      <c r="U22" s="45">
        <v>9.1</v>
      </c>
      <c r="V22" s="45">
        <v>9.1</v>
      </c>
      <c r="W22" s="45">
        <v>9.1</v>
      </c>
      <c r="X22" s="45">
        <v>9.1</v>
      </c>
      <c r="Y22" s="45">
        <v>13.2</v>
      </c>
      <c r="Z22" s="45">
        <v>9.1</v>
      </c>
      <c r="AA22" s="45">
        <v>9.1</v>
      </c>
      <c r="AB22" s="45">
        <v>9.1</v>
      </c>
      <c r="AC22" s="45">
        <v>9.1</v>
      </c>
      <c r="AD22" s="45">
        <v>9.1</v>
      </c>
      <c r="AE22" s="45">
        <v>9.1</v>
      </c>
      <c r="AF22" s="45">
        <v>9.1</v>
      </c>
      <c r="AG22" s="50">
        <v>25</v>
      </c>
      <c r="AH22" s="47">
        <f t="shared" si="2"/>
        <v>13.2</v>
      </c>
      <c r="AI22" s="48">
        <f t="shared" si="3"/>
        <v>9.1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6.4</v>
      </c>
      <c r="C26" s="45">
        <v>6.3</v>
      </c>
      <c r="D26" s="45">
        <v>6.3</v>
      </c>
      <c r="E26" s="45">
        <v>6.3</v>
      </c>
      <c r="F26" s="45">
        <v>6.3</v>
      </c>
      <c r="G26" s="45">
        <v>6.3</v>
      </c>
      <c r="H26" s="45">
        <v>6.3</v>
      </c>
      <c r="I26" s="45">
        <v>6.3</v>
      </c>
      <c r="J26" s="45">
        <v>6.3</v>
      </c>
      <c r="K26" s="45">
        <v>6.3</v>
      </c>
      <c r="L26" s="45">
        <v>6.3</v>
      </c>
      <c r="M26" s="45">
        <v>6.3</v>
      </c>
      <c r="N26" s="45">
        <v>6.3</v>
      </c>
      <c r="O26" s="45">
        <v>6.3</v>
      </c>
      <c r="P26" s="45">
        <v>6.3</v>
      </c>
      <c r="Q26" s="45">
        <v>6.3</v>
      </c>
      <c r="R26" s="45">
        <v>6.3</v>
      </c>
      <c r="S26" s="45">
        <v>6.3</v>
      </c>
      <c r="T26" s="45">
        <v>6.3</v>
      </c>
      <c r="U26" s="45">
        <v>6.3</v>
      </c>
      <c r="V26" s="45">
        <v>6.3</v>
      </c>
      <c r="W26" s="45">
        <v>6.3</v>
      </c>
      <c r="X26" s="45">
        <v>6.3</v>
      </c>
      <c r="Y26" s="45">
        <v>6.2</v>
      </c>
      <c r="Z26" s="45">
        <v>6.3</v>
      </c>
      <c r="AA26" s="45">
        <v>6.3</v>
      </c>
      <c r="AB26" s="45">
        <v>6.3</v>
      </c>
      <c r="AC26" s="45">
        <v>6.3</v>
      </c>
      <c r="AD26" s="45">
        <v>6.3</v>
      </c>
      <c r="AE26" s="45">
        <v>6.3</v>
      </c>
      <c r="AF26" s="45">
        <v>6.3</v>
      </c>
      <c r="AG26" s="50">
        <v>23.5</v>
      </c>
      <c r="AH26" s="47">
        <f t="shared" si="2"/>
        <v>6.4</v>
      </c>
      <c r="AI26" s="48">
        <f t="shared" si="3"/>
        <v>6.2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7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" si="4">SUM(B12:B46)</f>
        <v>359.4</v>
      </c>
      <c r="C48" s="60">
        <f t="shared" ref="C48:AG48" si="5">SUM(C12:C46)</f>
        <v>362.20000000000005</v>
      </c>
      <c r="D48" s="60">
        <f t="shared" si="5"/>
        <v>362.20000000000005</v>
      </c>
      <c r="E48" s="60">
        <f t="shared" si="5"/>
        <v>362.1</v>
      </c>
      <c r="F48" s="60">
        <f t="shared" si="5"/>
        <v>362.1</v>
      </c>
      <c r="G48" s="60">
        <f t="shared" si="5"/>
        <v>362.1</v>
      </c>
      <c r="H48" s="60">
        <f t="shared" si="5"/>
        <v>362.1</v>
      </c>
      <c r="I48" s="60">
        <f t="shared" si="5"/>
        <v>362.9</v>
      </c>
      <c r="J48" s="60">
        <f t="shared" si="5"/>
        <v>362.9</v>
      </c>
      <c r="K48" s="60">
        <f t="shared" si="5"/>
        <v>359.1</v>
      </c>
      <c r="L48" s="60">
        <f t="shared" si="5"/>
        <v>357.9</v>
      </c>
      <c r="M48" s="60">
        <f t="shared" si="5"/>
        <v>357.9</v>
      </c>
      <c r="N48" s="60">
        <f t="shared" si="5"/>
        <v>357.9</v>
      </c>
      <c r="O48" s="60">
        <f t="shared" si="5"/>
        <v>357.9</v>
      </c>
      <c r="P48" s="60">
        <f t="shared" si="5"/>
        <v>357.9</v>
      </c>
      <c r="Q48" s="60">
        <f t="shared" si="5"/>
        <v>357.9</v>
      </c>
      <c r="R48" s="60">
        <f t="shared" si="5"/>
        <v>357.9</v>
      </c>
      <c r="S48" s="60">
        <f t="shared" si="5"/>
        <v>358.2</v>
      </c>
      <c r="T48" s="60">
        <f t="shared" si="5"/>
        <v>357.5</v>
      </c>
      <c r="U48" s="60">
        <f t="shared" si="5"/>
        <v>357.6</v>
      </c>
      <c r="V48" s="60">
        <f t="shared" si="5"/>
        <v>357.5</v>
      </c>
      <c r="W48" s="60">
        <f t="shared" si="5"/>
        <v>357.5</v>
      </c>
      <c r="X48" s="60">
        <f t="shared" si="5"/>
        <v>357.5</v>
      </c>
      <c r="Y48" s="60">
        <v>361.9</v>
      </c>
      <c r="Z48" s="60">
        <f t="shared" si="5"/>
        <v>357.5</v>
      </c>
      <c r="AA48" s="60">
        <f t="shared" si="5"/>
        <v>357.5</v>
      </c>
      <c r="AB48" s="60">
        <f t="shared" si="5"/>
        <v>357.5</v>
      </c>
      <c r="AC48" s="60">
        <f t="shared" si="5"/>
        <v>357.5</v>
      </c>
      <c r="AD48" s="60">
        <f t="shared" si="5"/>
        <v>357.5</v>
      </c>
      <c r="AE48" s="60">
        <f t="shared" si="5"/>
        <v>357.5</v>
      </c>
      <c r="AF48" s="60">
        <f t="shared" si="5"/>
        <v>357.5</v>
      </c>
      <c r="AG48" s="61">
        <f t="shared" si="5"/>
        <v>875.68</v>
      </c>
      <c r="AH48" s="47">
        <f t="shared" si="2"/>
        <v>362.9</v>
      </c>
      <c r="AI48" s="48">
        <f t="shared" si="3"/>
        <v>357.5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15</v>
      </c>
      <c r="G49" s="45">
        <v>15</v>
      </c>
      <c r="H49" s="45">
        <v>15</v>
      </c>
      <c r="I49" s="45">
        <v>35</v>
      </c>
      <c r="J49" s="45">
        <v>55</v>
      </c>
      <c r="K49" s="45">
        <v>65</v>
      </c>
      <c r="L49" s="45">
        <v>160</v>
      </c>
      <c r="M49" s="45">
        <v>160</v>
      </c>
      <c r="N49" s="63">
        <v>90</v>
      </c>
      <c r="O49" s="45">
        <v>200</v>
      </c>
      <c r="P49" s="45">
        <v>150</v>
      </c>
      <c r="Q49" s="45">
        <v>120</v>
      </c>
      <c r="R49" s="45">
        <v>75</v>
      </c>
      <c r="S49" s="45">
        <v>75</v>
      </c>
      <c r="T49" s="45">
        <v>76</v>
      </c>
      <c r="U49" s="45">
        <v>130</v>
      </c>
      <c r="V49" s="45">
        <v>80</v>
      </c>
      <c r="W49" s="45">
        <v>30</v>
      </c>
      <c r="X49" s="45">
        <v>65</v>
      </c>
      <c r="Y49" s="45">
        <v>120</v>
      </c>
      <c r="Z49" s="45">
        <v>150</v>
      </c>
      <c r="AA49" s="45">
        <v>90</v>
      </c>
      <c r="AB49" s="45">
        <v>60</v>
      </c>
      <c r="AC49" s="45">
        <v>80</v>
      </c>
      <c r="AD49" s="45">
        <v>40</v>
      </c>
      <c r="AE49" s="45">
        <v>0</v>
      </c>
      <c r="AF49" s="45">
        <v>0</v>
      </c>
      <c r="AG49" s="51">
        <v>456</v>
      </c>
      <c r="AH49" s="47">
        <f t="shared" si="2"/>
        <v>200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10.5</v>
      </c>
      <c r="C51" s="67">
        <v>10.5</v>
      </c>
      <c r="D51" s="67">
        <v>10.5</v>
      </c>
      <c r="E51" s="67">
        <v>10.5</v>
      </c>
      <c r="F51" s="67">
        <v>10.6</v>
      </c>
      <c r="G51" s="67">
        <v>10.6</v>
      </c>
      <c r="H51" s="67">
        <v>10.6</v>
      </c>
      <c r="I51" s="67">
        <v>10.5</v>
      </c>
      <c r="J51" s="67">
        <v>10.6</v>
      </c>
      <c r="K51" s="67">
        <v>10.6</v>
      </c>
      <c r="L51" s="67">
        <v>10.5</v>
      </c>
      <c r="M51" s="67">
        <v>10.5</v>
      </c>
      <c r="N51" s="67">
        <v>10.5</v>
      </c>
      <c r="O51" s="67">
        <v>10.5</v>
      </c>
      <c r="P51" s="67">
        <v>10.5</v>
      </c>
      <c r="Q51" s="67">
        <v>10.5</v>
      </c>
      <c r="R51" s="67">
        <v>10.5</v>
      </c>
      <c r="S51" s="67">
        <v>10.6</v>
      </c>
      <c r="T51" s="67">
        <v>10.6</v>
      </c>
      <c r="U51" s="67">
        <v>10</v>
      </c>
      <c r="V51" s="67">
        <v>10.6</v>
      </c>
      <c r="W51" s="67">
        <v>10.6</v>
      </c>
      <c r="X51" s="67">
        <v>10.6</v>
      </c>
      <c r="Y51" s="67">
        <v>10.5</v>
      </c>
      <c r="Z51" s="67">
        <v>10.6</v>
      </c>
      <c r="AA51" s="67">
        <v>10.6</v>
      </c>
      <c r="AB51" s="67">
        <v>10.6</v>
      </c>
      <c r="AC51" s="67">
        <v>10.6</v>
      </c>
      <c r="AD51" s="67">
        <v>10.6</v>
      </c>
      <c r="AE51" s="67">
        <v>10.6</v>
      </c>
      <c r="AF51" s="67">
        <v>10.6</v>
      </c>
      <c r="AG51" s="68">
        <v>22.1</v>
      </c>
      <c r="AH51" s="47">
        <f t="shared" si="2"/>
        <v>10.6</v>
      </c>
      <c r="AI51" s="48">
        <f t="shared" si="3"/>
        <v>10</v>
      </c>
      <c r="AK51" s="49"/>
    </row>
    <row r="52" spans="1:41" ht="15.75" thickBot="1" x14ac:dyDescent="0.3">
      <c r="A52" s="69" t="s">
        <v>56</v>
      </c>
      <c r="B52" s="60">
        <f t="shared" ref="B52" si="6">SUM(B49:B51)</f>
        <v>37.5</v>
      </c>
      <c r="C52" s="60">
        <f t="shared" ref="C52:AG52" si="7">SUM(C49:C51)</f>
        <v>37.5</v>
      </c>
      <c r="D52" s="60">
        <f t="shared" si="7"/>
        <v>37.5</v>
      </c>
      <c r="E52" s="60">
        <f t="shared" si="7"/>
        <v>37.5</v>
      </c>
      <c r="F52" s="60">
        <f t="shared" si="7"/>
        <v>52.6</v>
      </c>
      <c r="G52" s="60">
        <f t="shared" si="7"/>
        <v>52.6</v>
      </c>
      <c r="H52" s="60">
        <f t="shared" si="7"/>
        <v>52.6</v>
      </c>
      <c r="I52" s="60">
        <f t="shared" si="7"/>
        <v>72.5</v>
      </c>
      <c r="J52" s="60">
        <f t="shared" si="7"/>
        <v>92.6</v>
      </c>
      <c r="K52" s="60">
        <f t="shared" si="7"/>
        <v>102.6</v>
      </c>
      <c r="L52" s="60">
        <f t="shared" si="7"/>
        <v>197.5</v>
      </c>
      <c r="M52" s="60">
        <f t="shared" si="7"/>
        <v>197.5</v>
      </c>
      <c r="N52" s="60">
        <f t="shared" si="7"/>
        <v>127.5</v>
      </c>
      <c r="O52" s="60">
        <f t="shared" si="7"/>
        <v>237.5</v>
      </c>
      <c r="P52" s="60">
        <f t="shared" si="7"/>
        <v>187.5</v>
      </c>
      <c r="Q52" s="60">
        <f t="shared" si="7"/>
        <v>157.5</v>
      </c>
      <c r="R52" s="60">
        <f t="shared" si="7"/>
        <v>112.5</v>
      </c>
      <c r="S52" s="60">
        <f t="shared" si="7"/>
        <v>112.6</v>
      </c>
      <c r="T52" s="60">
        <f t="shared" si="7"/>
        <v>113.6</v>
      </c>
      <c r="U52" s="60">
        <f t="shared" si="7"/>
        <v>167</v>
      </c>
      <c r="V52" s="60">
        <f t="shared" si="7"/>
        <v>117.6</v>
      </c>
      <c r="W52" s="60">
        <f t="shared" si="7"/>
        <v>67.599999999999994</v>
      </c>
      <c r="X52" s="60">
        <f t="shared" si="7"/>
        <v>102.6</v>
      </c>
      <c r="Y52" s="60">
        <v>157.5</v>
      </c>
      <c r="Z52" s="60">
        <f t="shared" si="7"/>
        <v>187.6</v>
      </c>
      <c r="AA52" s="60">
        <f t="shared" si="7"/>
        <v>127.6</v>
      </c>
      <c r="AB52" s="60">
        <f t="shared" si="7"/>
        <v>97.6</v>
      </c>
      <c r="AC52" s="60">
        <f t="shared" si="7"/>
        <v>117.6</v>
      </c>
      <c r="AD52" s="60">
        <f t="shared" si="7"/>
        <v>77.599999999999994</v>
      </c>
      <c r="AE52" s="60">
        <f t="shared" si="7"/>
        <v>37.6</v>
      </c>
      <c r="AF52" s="60">
        <f t="shared" si="7"/>
        <v>37.6</v>
      </c>
      <c r="AG52" s="61">
        <f t="shared" si="7"/>
        <v>538.1</v>
      </c>
      <c r="AH52" s="47">
        <f t="shared" si="2"/>
        <v>237.5</v>
      </c>
      <c r="AI52" s="48">
        <f t="shared" si="3"/>
        <v>37.5</v>
      </c>
      <c r="AK52" s="49"/>
    </row>
    <row r="53" spans="1:41" x14ac:dyDescent="0.25">
      <c r="A53" s="44" t="s">
        <v>57</v>
      </c>
      <c r="B53" s="45">
        <v>90</v>
      </c>
      <c r="C53" s="45">
        <v>100</v>
      </c>
      <c r="D53" s="45">
        <v>71</v>
      </c>
      <c r="E53" s="45">
        <v>60</v>
      </c>
      <c r="F53" s="45">
        <v>30.5</v>
      </c>
      <c r="G53" s="45">
        <v>25</v>
      </c>
      <c r="H53" s="45">
        <v>25.6</v>
      </c>
      <c r="I53" s="45">
        <v>35.700000000000003</v>
      </c>
      <c r="J53" s="45">
        <v>35.5</v>
      </c>
      <c r="K53" s="45">
        <v>60</v>
      </c>
      <c r="L53" s="45">
        <v>92.8</v>
      </c>
      <c r="M53" s="45">
        <v>45.5</v>
      </c>
      <c r="N53" s="45">
        <v>35</v>
      </c>
      <c r="O53" s="45">
        <v>35.5</v>
      </c>
      <c r="P53" s="45">
        <v>30.7</v>
      </c>
      <c r="Q53" s="45">
        <v>30</v>
      </c>
      <c r="R53" s="45">
        <v>30.4</v>
      </c>
      <c r="S53" s="45">
        <v>30.6</v>
      </c>
      <c r="T53" s="45">
        <v>30.6</v>
      </c>
      <c r="U53" s="45">
        <v>40.299999999999997</v>
      </c>
      <c r="V53" s="45">
        <v>35.799999999999997</v>
      </c>
      <c r="W53" s="45">
        <v>28</v>
      </c>
      <c r="X53" s="45">
        <v>49.6</v>
      </c>
      <c r="Y53" s="45">
        <v>121</v>
      </c>
      <c r="Z53" s="45">
        <v>125</v>
      </c>
      <c r="AA53" s="45">
        <v>103.1</v>
      </c>
      <c r="AB53" s="45">
        <v>94</v>
      </c>
      <c r="AC53" s="45">
        <v>125</v>
      </c>
      <c r="AD53" s="45">
        <v>121</v>
      </c>
      <c r="AE53" s="45">
        <v>103</v>
      </c>
      <c r="AF53" s="45">
        <v>35</v>
      </c>
      <c r="AG53" s="51">
        <v>144</v>
      </c>
      <c r="AH53" s="47">
        <f t="shared" si="2"/>
        <v>125</v>
      </c>
      <c r="AI53" s="48">
        <f t="shared" si="3"/>
        <v>25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16.899999999999999</v>
      </c>
      <c r="K55" s="65">
        <v>44</v>
      </c>
      <c r="L55" s="65">
        <v>65.8</v>
      </c>
      <c r="M55" s="65">
        <v>53.6</v>
      </c>
      <c r="N55" s="65">
        <v>54</v>
      </c>
      <c r="O55" s="65">
        <v>61.4</v>
      </c>
      <c r="P55" s="65">
        <v>61.1</v>
      </c>
      <c r="Q55" s="65">
        <v>61.1</v>
      </c>
      <c r="R55" s="65">
        <v>61.1</v>
      </c>
      <c r="S55" s="45">
        <v>44</v>
      </c>
      <c r="T55" s="45">
        <v>44</v>
      </c>
      <c r="U55" s="45">
        <v>44</v>
      </c>
      <c r="V55" s="45">
        <v>43.9</v>
      </c>
      <c r="W55" s="45">
        <v>33.9</v>
      </c>
      <c r="X55" s="45">
        <v>46.8</v>
      </c>
      <c r="Y55" s="45">
        <v>62</v>
      </c>
      <c r="Z55" s="45">
        <v>63</v>
      </c>
      <c r="AA55" s="45">
        <v>51</v>
      </c>
      <c r="AB55" s="45">
        <v>51</v>
      </c>
      <c r="AC55" s="45">
        <v>51</v>
      </c>
      <c r="AD55" s="45">
        <v>51</v>
      </c>
      <c r="AE55" s="45">
        <v>40</v>
      </c>
      <c r="AF55" s="45">
        <v>17</v>
      </c>
      <c r="AG55" s="54">
        <v>69</v>
      </c>
      <c r="AH55" s="47">
        <f t="shared" si="2"/>
        <v>65.8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38.299999999999997</v>
      </c>
      <c r="C56" s="65">
        <v>40.1</v>
      </c>
      <c r="D56" s="65">
        <v>40.1</v>
      </c>
      <c r="E56" s="56">
        <v>40.1</v>
      </c>
      <c r="F56" s="56">
        <v>40.200000000000003</v>
      </c>
      <c r="G56" s="56">
        <v>40.200000000000003</v>
      </c>
      <c r="H56" s="56">
        <v>40.200000000000003</v>
      </c>
      <c r="I56" s="56">
        <v>40.200000000000003</v>
      </c>
      <c r="J56" s="56">
        <v>40.6</v>
      </c>
      <c r="K56" s="56">
        <v>40.6</v>
      </c>
      <c r="L56" s="56">
        <v>40.6</v>
      </c>
      <c r="M56" s="65">
        <v>41.1</v>
      </c>
      <c r="N56" s="65">
        <v>41.1</v>
      </c>
      <c r="O56" s="65">
        <v>39</v>
      </c>
      <c r="P56" s="65">
        <v>39.6</v>
      </c>
      <c r="Q56" s="65">
        <v>39.6</v>
      </c>
      <c r="R56" s="65">
        <v>39.6</v>
      </c>
      <c r="S56" s="45">
        <v>39.1</v>
      </c>
      <c r="T56" s="45">
        <v>39.299999999999997</v>
      </c>
      <c r="U56" s="45">
        <v>37.299999999999997</v>
      </c>
      <c r="V56" s="45">
        <v>37</v>
      </c>
      <c r="W56" s="45">
        <v>37</v>
      </c>
      <c r="X56" s="65">
        <v>37</v>
      </c>
      <c r="Y56" s="65">
        <v>38</v>
      </c>
      <c r="Z56" s="65">
        <v>37</v>
      </c>
      <c r="AA56" s="65">
        <v>37</v>
      </c>
      <c r="AB56" s="65">
        <v>37</v>
      </c>
      <c r="AC56" s="65">
        <v>37</v>
      </c>
      <c r="AD56" s="65">
        <v>37</v>
      </c>
      <c r="AE56" s="65">
        <v>37</v>
      </c>
      <c r="AF56" s="65">
        <v>37</v>
      </c>
      <c r="AG56" s="54">
        <v>60</v>
      </c>
      <c r="AH56" s="47">
        <f t="shared" si="2"/>
        <v>41.1</v>
      </c>
      <c r="AI56" s="48">
        <f t="shared" si="3"/>
        <v>37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56">
        <v>0</v>
      </c>
      <c r="F57" s="56">
        <v>0</v>
      </c>
      <c r="G57" s="56">
        <v>0</v>
      </c>
      <c r="H57" s="56">
        <v>0</v>
      </c>
      <c r="I57" s="56">
        <v>15</v>
      </c>
      <c r="J57" s="56">
        <v>15</v>
      </c>
      <c r="K57" s="56">
        <v>25</v>
      </c>
      <c r="L57" s="56">
        <v>26</v>
      </c>
      <c r="M57" s="65">
        <v>15</v>
      </c>
      <c r="N57" s="65">
        <v>15</v>
      </c>
      <c r="O57" s="65">
        <v>15</v>
      </c>
      <c r="P57" s="65">
        <v>13</v>
      </c>
      <c r="Q57" s="65">
        <v>13</v>
      </c>
      <c r="R57" s="6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65">
        <v>0</v>
      </c>
      <c r="Y57" s="65">
        <v>15</v>
      </c>
      <c r="Z57" s="65">
        <v>15</v>
      </c>
      <c r="AA57" s="65">
        <v>15</v>
      </c>
      <c r="AB57" s="65">
        <v>15</v>
      </c>
      <c r="AC57" s="65">
        <v>15</v>
      </c>
      <c r="AD57" s="65">
        <v>26</v>
      </c>
      <c r="AE57" s="65">
        <v>30</v>
      </c>
      <c r="AF57" s="65">
        <v>26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65">
        <v>0</v>
      </c>
      <c r="N58" s="65">
        <v>0</v>
      </c>
      <c r="O58" s="65">
        <v>8</v>
      </c>
      <c r="P58" s="65">
        <v>8</v>
      </c>
      <c r="Q58" s="65">
        <v>8</v>
      </c>
      <c r="R58" s="65">
        <v>8</v>
      </c>
      <c r="S58" s="45">
        <v>11.8</v>
      </c>
      <c r="T58" s="45">
        <v>10</v>
      </c>
      <c r="U58" s="45">
        <v>13.7</v>
      </c>
      <c r="V58" s="45">
        <v>13.7</v>
      </c>
      <c r="W58" s="45">
        <v>13.7</v>
      </c>
      <c r="X58" s="45">
        <v>13.7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25</v>
      </c>
      <c r="AH58" s="47">
        <f t="shared" si="2"/>
        <v>13.7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14</v>
      </c>
      <c r="C59" s="65">
        <v>14</v>
      </c>
      <c r="D59" s="65">
        <v>14</v>
      </c>
      <c r="E59" s="65">
        <v>14</v>
      </c>
      <c r="F59" s="65">
        <v>14</v>
      </c>
      <c r="G59" s="65">
        <v>14</v>
      </c>
      <c r="H59" s="65">
        <v>14</v>
      </c>
      <c r="I59" s="65">
        <v>14</v>
      </c>
      <c r="J59" s="65">
        <v>14</v>
      </c>
      <c r="K59" s="65">
        <v>14</v>
      </c>
      <c r="L59" s="65">
        <v>14</v>
      </c>
      <c r="M59" s="65">
        <v>14</v>
      </c>
      <c r="N59" s="65">
        <v>14</v>
      </c>
      <c r="O59" s="65">
        <v>14</v>
      </c>
      <c r="P59" s="65">
        <v>14</v>
      </c>
      <c r="Q59" s="65">
        <v>14</v>
      </c>
      <c r="R59" s="65">
        <v>14</v>
      </c>
      <c r="S59" s="45">
        <v>14</v>
      </c>
      <c r="T59" s="45">
        <v>13</v>
      </c>
      <c r="U59" s="45">
        <v>13</v>
      </c>
      <c r="V59" s="45">
        <v>13</v>
      </c>
      <c r="W59" s="45">
        <v>13</v>
      </c>
      <c r="X59" s="45">
        <v>13</v>
      </c>
      <c r="Y59" s="45">
        <v>14</v>
      </c>
      <c r="Z59" s="45">
        <v>13</v>
      </c>
      <c r="AA59" s="45">
        <v>13</v>
      </c>
      <c r="AB59" s="45">
        <v>13</v>
      </c>
      <c r="AC59" s="45">
        <v>13</v>
      </c>
      <c r="AD59" s="45">
        <v>13</v>
      </c>
      <c r="AE59" s="45">
        <v>13</v>
      </c>
      <c r="AF59" s="45">
        <v>13</v>
      </c>
      <c r="AG59" s="54">
        <v>24</v>
      </c>
      <c r="AH59" s="47">
        <f t="shared" si="2"/>
        <v>14</v>
      </c>
      <c r="AI59" s="48">
        <f t="shared" si="3"/>
        <v>13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45">
        <v>3.2</v>
      </c>
      <c r="T60" s="45">
        <v>3.2</v>
      </c>
      <c r="U60" s="45">
        <v>3.2</v>
      </c>
      <c r="V60" s="45">
        <v>3.2</v>
      </c>
      <c r="W60" s="45">
        <v>3.2</v>
      </c>
      <c r="X60" s="45">
        <v>3.2</v>
      </c>
      <c r="Y60" s="45">
        <v>3.2</v>
      </c>
      <c r="Z60" s="45">
        <v>3.2</v>
      </c>
      <c r="AA60" s="45">
        <v>3.2</v>
      </c>
      <c r="AB60" s="45">
        <v>3.2</v>
      </c>
      <c r="AC60" s="45">
        <v>3.2</v>
      </c>
      <c r="AD60" s="45">
        <v>3.2</v>
      </c>
      <c r="AE60" s="45">
        <v>3.2</v>
      </c>
      <c r="AF60" s="4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10.6</v>
      </c>
      <c r="C61" s="65">
        <v>9.6</v>
      </c>
      <c r="D61" s="65">
        <v>9.6</v>
      </c>
      <c r="E61" s="65">
        <v>9.6</v>
      </c>
      <c r="F61" s="65">
        <v>9.6</v>
      </c>
      <c r="G61" s="65">
        <v>9.6</v>
      </c>
      <c r="H61" s="65">
        <v>9.6</v>
      </c>
      <c r="I61" s="65">
        <v>9.6</v>
      </c>
      <c r="J61" s="65">
        <v>9.6</v>
      </c>
      <c r="K61" s="65">
        <v>9.6</v>
      </c>
      <c r="L61" s="65">
        <v>9.6</v>
      </c>
      <c r="M61" s="65">
        <v>9.6</v>
      </c>
      <c r="N61" s="65">
        <v>9.6</v>
      </c>
      <c r="O61" s="65">
        <v>9.6</v>
      </c>
      <c r="P61" s="65">
        <v>9.6</v>
      </c>
      <c r="Q61" s="65">
        <v>9.6</v>
      </c>
      <c r="R61" s="65">
        <v>9.6</v>
      </c>
      <c r="S61" s="65">
        <v>9.6</v>
      </c>
      <c r="T61" s="65">
        <v>10.7</v>
      </c>
      <c r="U61" s="65">
        <v>10.199999999999999</v>
      </c>
      <c r="V61" s="65">
        <v>10.199999999999999</v>
      </c>
      <c r="W61" s="65">
        <v>10.199999999999999</v>
      </c>
      <c r="X61" s="65">
        <v>10.199999999999999</v>
      </c>
      <c r="Y61" s="65">
        <v>9.1999999999999993</v>
      </c>
      <c r="Z61" s="65">
        <v>10.199999999999999</v>
      </c>
      <c r="AA61" s="65">
        <v>10.199999999999999</v>
      </c>
      <c r="AB61" s="65">
        <v>10.199999999999999</v>
      </c>
      <c r="AC61" s="65">
        <v>10.199999999999999</v>
      </c>
      <c r="AD61" s="65">
        <v>10.199999999999999</v>
      </c>
      <c r="AE61" s="65">
        <v>10.199999999999999</v>
      </c>
      <c r="AF61" s="65">
        <v>10.199999999999999</v>
      </c>
      <c r="AG61" s="54">
        <v>14.1</v>
      </c>
      <c r="AH61" s="47">
        <f t="shared" si="2"/>
        <v>10.7</v>
      </c>
      <c r="AI61" s="48">
        <f t="shared" si="3"/>
        <v>9.1999999999999993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3.2</v>
      </c>
      <c r="C62" s="65">
        <v>3.2</v>
      </c>
      <c r="D62" s="65">
        <v>3.2</v>
      </c>
      <c r="E62" s="65">
        <v>3.2</v>
      </c>
      <c r="F62" s="65">
        <v>3.2</v>
      </c>
      <c r="G62" s="65">
        <v>3.2</v>
      </c>
      <c r="H62" s="65">
        <v>3.2</v>
      </c>
      <c r="I62" s="65">
        <v>3.2</v>
      </c>
      <c r="J62" s="65">
        <v>3.2</v>
      </c>
      <c r="K62" s="65">
        <v>3.2</v>
      </c>
      <c r="L62" s="65">
        <v>3.2</v>
      </c>
      <c r="M62" s="65">
        <v>3.2</v>
      </c>
      <c r="N62" s="65">
        <v>3.2</v>
      </c>
      <c r="O62" s="65">
        <v>3.2</v>
      </c>
      <c r="P62" s="65">
        <v>3.2</v>
      </c>
      <c r="Q62" s="65">
        <v>3.2</v>
      </c>
      <c r="R62" s="65">
        <v>3.2</v>
      </c>
      <c r="S62" s="65">
        <v>3.2</v>
      </c>
      <c r="T62" s="65">
        <v>3.2</v>
      </c>
      <c r="U62" s="65">
        <v>3.2</v>
      </c>
      <c r="V62" s="65">
        <v>3.2</v>
      </c>
      <c r="W62" s="65">
        <v>3.2</v>
      </c>
      <c r="X62" s="65">
        <v>3.2</v>
      </c>
      <c r="Y62" s="65">
        <v>3.1</v>
      </c>
      <c r="Z62" s="65">
        <v>3.2</v>
      </c>
      <c r="AA62" s="65">
        <v>3.2</v>
      </c>
      <c r="AB62" s="65">
        <v>4.7</v>
      </c>
      <c r="AC62" s="65">
        <v>4.7</v>
      </c>
      <c r="AD62" s="65">
        <v>4.7</v>
      </c>
      <c r="AE62" s="65">
        <v>4.7</v>
      </c>
      <c r="AF62" s="65">
        <v>4.7</v>
      </c>
      <c r="AG62" s="54">
        <v>14</v>
      </c>
      <c r="AH62" s="47">
        <f t="shared" si="2"/>
        <v>4.7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</v>
      </c>
      <c r="Q63" s="65">
        <v>4.5</v>
      </c>
      <c r="R63" s="65">
        <v>4.5</v>
      </c>
      <c r="S63" s="65">
        <v>4.5</v>
      </c>
      <c r="T63" s="65">
        <v>4.5</v>
      </c>
      <c r="U63" s="65">
        <v>4.5</v>
      </c>
      <c r="V63" s="65">
        <v>4.5</v>
      </c>
      <c r="W63" s="65">
        <v>4.5</v>
      </c>
      <c r="X63" s="65">
        <v>4.5</v>
      </c>
      <c r="Y63" s="65">
        <v>4.5</v>
      </c>
      <c r="Z63" s="65">
        <v>4.5</v>
      </c>
      <c r="AA63" s="65">
        <v>4.5</v>
      </c>
      <c r="AB63" s="65">
        <v>4.5</v>
      </c>
      <c r="AC63" s="65">
        <v>4.5</v>
      </c>
      <c r="AD63" s="65">
        <v>4.5</v>
      </c>
      <c r="AE63" s="65">
        <v>4.5</v>
      </c>
      <c r="AF63" s="65">
        <v>4.5</v>
      </c>
      <c r="AG63" s="54">
        <v>10.050000000000001</v>
      </c>
      <c r="AH63" s="47">
        <f t="shared" si="2"/>
        <v>4.5</v>
      </c>
      <c r="AI63" s="48">
        <f t="shared" si="3"/>
        <v>4.5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" si="8">SUM(B53:B65)</f>
        <v>168.83999999999997</v>
      </c>
      <c r="C66" s="60">
        <f t="shared" ref="C66:AG66" si="9">SUM(C53:C65)</f>
        <v>179.63999999999996</v>
      </c>
      <c r="D66" s="60">
        <f t="shared" si="9"/>
        <v>150.63999999999996</v>
      </c>
      <c r="E66" s="60">
        <f t="shared" si="9"/>
        <v>139.63999999999999</v>
      </c>
      <c r="F66" s="60">
        <f t="shared" si="9"/>
        <v>110.24000000000001</v>
      </c>
      <c r="G66" s="60">
        <f t="shared" si="9"/>
        <v>104.74000000000001</v>
      </c>
      <c r="H66" s="60">
        <f t="shared" si="9"/>
        <v>105.34000000000002</v>
      </c>
      <c r="I66" s="60">
        <f t="shared" si="9"/>
        <v>130.44</v>
      </c>
      <c r="J66" s="60">
        <f t="shared" si="9"/>
        <v>147.54</v>
      </c>
      <c r="K66" s="60">
        <f t="shared" si="9"/>
        <v>209.13999999999996</v>
      </c>
      <c r="L66" s="60">
        <f t="shared" si="9"/>
        <v>264.73999999999995</v>
      </c>
      <c r="M66" s="60">
        <f t="shared" si="9"/>
        <v>194.73999999999995</v>
      </c>
      <c r="N66" s="60">
        <f t="shared" si="9"/>
        <v>184.63999999999996</v>
      </c>
      <c r="O66" s="60">
        <f t="shared" si="9"/>
        <v>198.43999999999997</v>
      </c>
      <c r="P66" s="60">
        <f t="shared" si="9"/>
        <v>191.93999999999997</v>
      </c>
      <c r="Q66" s="60">
        <f t="shared" si="9"/>
        <v>191.23999999999995</v>
      </c>
      <c r="R66" s="60">
        <f t="shared" si="9"/>
        <v>178.63999999999996</v>
      </c>
      <c r="S66" s="60">
        <f t="shared" si="9"/>
        <v>165.03999999999996</v>
      </c>
      <c r="T66" s="60">
        <f t="shared" si="9"/>
        <v>163.53999999999994</v>
      </c>
      <c r="U66" s="60">
        <f t="shared" si="9"/>
        <v>174.43999999999994</v>
      </c>
      <c r="V66" s="60">
        <f t="shared" si="9"/>
        <v>169.53999999999994</v>
      </c>
      <c r="W66" s="60">
        <f t="shared" si="9"/>
        <v>151.73999999999998</v>
      </c>
      <c r="X66" s="60">
        <f t="shared" si="9"/>
        <v>186.23999999999995</v>
      </c>
      <c r="Y66" s="60">
        <v>275.04000000000002</v>
      </c>
      <c r="Z66" s="60">
        <f t="shared" si="9"/>
        <v>279.14</v>
      </c>
      <c r="AA66" s="60">
        <f t="shared" si="9"/>
        <v>245.23999999999995</v>
      </c>
      <c r="AB66" s="60">
        <f t="shared" si="9"/>
        <v>237.63999999999996</v>
      </c>
      <c r="AC66" s="60">
        <f t="shared" si="9"/>
        <v>268.64</v>
      </c>
      <c r="AD66" s="60">
        <f t="shared" si="9"/>
        <v>275.64</v>
      </c>
      <c r="AE66" s="60">
        <f t="shared" si="9"/>
        <v>250.63999999999996</v>
      </c>
      <c r="AF66" s="60">
        <f t="shared" si="9"/>
        <v>155.63999999999996</v>
      </c>
      <c r="AG66" s="61">
        <f t="shared" si="9"/>
        <v>489.91</v>
      </c>
      <c r="AH66" s="47">
        <f t="shared" si="2"/>
        <v>279.14</v>
      </c>
      <c r="AI66" s="48">
        <f t="shared" si="3"/>
        <v>104.74000000000001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14</v>
      </c>
      <c r="O67" s="45">
        <v>14</v>
      </c>
      <c r="P67" s="45">
        <v>25</v>
      </c>
      <c r="Q67" s="45">
        <v>30</v>
      </c>
      <c r="R67" s="45">
        <v>30</v>
      </c>
      <c r="S67" s="45">
        <v>29.6</v>
      </c>
      <c r="T67" s="45">
        <v>30</v>
      </c>
      <c r="U67" s="45">
        <v>30</v>
      </c>
      <c r="V67" s="45">
        <v>15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5</v>
      </c>
      <c r="O68" s="65">
        <v>5</v>
      </c>
      <c r="P68" s="65">
        <v>13.9</v>
      </c>
      <c r="Q68" s="45">
        <v>11</v>
      </c>
      <c r="R68" s="45">
        <v>15.3</v>
      </c>
      <c r="S68" s="65">
        <v>14.2</v>
      </c>
      <c r="T68" s="65">
        <v>14.6</v>
      </c>
      <c r="U68" s="65">
        <v>15.1</v>
      </c>
      <c r="V68" s="65">
        <v>7.5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45">
        <v>0</v>
      </c>
      <c r="AG68" s="54">
        <v>32</v>
      </c>
      <c r="AH68" s="47">
        <f t="shared" si="2"/>
        <v>15.3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2</v>
      </c>
      <c r="O69" s="67">
        <v>2</v>
      </c>
      <c r="P69" s="67">
        <v>5</v>
      </c>
      <c r="Q69" s="45">
        <v>4.3</v>
      </c>
      <c r="R69" s="45">
        <v>5.6</v>
      </c>
      <c r="S69" s="67">
        <v>5.2</v>
      </c>
      <c r="T69" s="67">
        <v>5.3</v>
      </c>
      <c r="U69" s="67">
        <v>5.4</v>
      </c>
      <c r="V69" s="67">
        <v>3.2</v>
      </c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45">
        <v>0</v>
      </c>
      <c r="AG69" s="68">
        <v>14</v>
      </c>
      <c r="AH69" s="47">
        <f t="shared" si="2"/>
        <v>5.6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0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1">M67+M68+M69</f>
        <v>0</v>
      </c>
      <c r="N70" s="60">
        <f t="shared" si="11"/>
        <v>21</v>
      </c>
      <c r="O70" s="60">
        <f t="shared" si="11"/>
        <v>21</v>
      </c>
      <c r="P70" s="60">
        <f t="shared" si="11"/>
        <v>43.9</v>
      </c>
      <c r="Q70" s="60">
        <f t="shared" si="11"/>
        <v>45.3</v>
      </c>
      <c r="R70" s="60">
        <f t="shared" si="11"/>
        <v>50.9</v>
      </c>
      <c r="S70" s="60">
        <f t="shared" si="11"/>
        <v>49</v>
      </c>
      <c r="T70" s="60">
        <f t="shared" si="11"/>
        <v>49.9</v>
      </c>
      <c r="U70" s="60">
        <f t="shared" si="11"/>
        <v>50.5</v>
      </c>
      <c r="V70" s="60">
        <f t="shared" si="11"/>
        <v>25.7</v>
      </c>
      <c r="W70" s="60">
        <f t="shared" si="11"/>
        <v>0</v>
      </c>
      <c r="X70" s="60">
        <f t="shared" si="11"/>
        <v>0</v>
      </c>
      <c r="Y70" s="60">
        <v>0</v>
      </c>
      <c r="Z70" s="60">
        <f t="shared" si="11"/>
        <v>0</v>
      </c>
      <c r="AA70" s="60">
        <f t="shared" si="11"/>
        <v>0</v>
      </c>
      <c r="AB70" s="60">
        <f t="shared" si="11"/>
        <v>0</v>
      </c>
      <c r="AC70" s="60">
        <f t="shared" si="11"/>
        <v>0</v>
      </c>
      <c r="AD70" s="60">
        <f t="shared" si="11"/>
        <v>0</v>
      </c>
      <c r="AE70" s="60">
        <f t="shared" si="11"/>
        <v>0</v>
      </c>
      <c r="AF70" s="60">
        <f t="shared" si="11"/>
        <v>0</v>
      </c>
      <c r="AG70" s="61">
        <f>SUM(AG67:AG69)</f>
        <v>106</v>
      </c>
      <c r="AH70" s="47">
        <f t="shared" si="2"/>
        <v>50.9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59.8</v>
      </c>
      <c r="C71" s="45">
        <v>58</v>
      </c>
      <c r="D71" s="45">
        <v>57.3</v>
      </c>
      <c r="E71" s="45">
        <v>60</v>
      </c>
      <c r="F71" s="45">
        <v>61.1</v>
      </c>
      <c r="G71" s="45">
        <v>64</v>
      </c>
      <c r="H71" s="45">
        <v>53</v>
      </c>
      <c r="I71" s="45">
        <v>72</v>
      </c>
      <c r="J71" s="45">
        <v>70.5</v>
      </c>
      <c r="K71" s="45">
        <v>70</v>
      </c>
      <c r="L71" s="45">
        <v>57</v>
      </c>
      <c r="M71" s="45">
        <v>73</v>
      </c>
      <c r="N71" s="45">
        <v>73</v>
      </c>
      <c r="O71" s="45">
        <v>65.400000000000006</v>
      </c>
      <c r="P71" s="45">
        <v>72.2</v>
      </c>
      <c r="Q71" s="45">
        <v>64</v>
      </c>
      <c r="R71" s="45">
        <v>69</v>
      </c>
      <c r="S71" s="45">
        <v>75.2</v>
      </c>
      <c r="T71" s="45">
        <v>66</v>
      </c>
      <c r="U71" s="45">
        <v>70</v>
      </c>
      <c r="V71" s="45">
        <v>68</v>
      </c>
      <c r="W71" s="45">
        <v>64</v>
      </c>
      <c r="X71" s="45">
        <v>72</v>
      </c>
      <c r="Y71" s="45">
        <v>74.5</v>
      </c>
      <c r="Z71" s="45">
        <v>61.2</v>
      </c>
      <c r="AA71" s="45">
        <v>64.599999999999994</v>
      </c>
      <c r="AB71" s="45">
        <v>54</v>
      </c>
      <c r="AC71" s="45">
        <v>55</v>
      </c>
      <c r="AD71" s="45">
        <v>62</v>
      </c>
      <c r="AE71" s="45">
        <v>58</v>
      </c>
      <c r="AF71" s="45">
        <v>55</v>
      </c>
      <c r="AG71" s="51"/>
      <c r="AH71" s="47">
        <f t="shared" si="2"/>
        <v>75.2</v>
      </c>
      <c r="AI71" s="48">
        <f t="shared" si="3"/>
        <v>53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15</v>
      </c>
      <c r="P72" s="65">
        <v>21</v>
      </c>
      <c r="Q72" s="65">
        <v>33.200000000000003</v>
      </c>
      <c r="R72" s="65">
        <v>29</v>
      </c>
      <c r="S72" s="65">
        <v>23.6</v>
      </c>
      <c r="T72" s="65">
        <v>32.299999999999997</v>
      </c>
      <c r="U72" s="65">
        <v>15.9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33.200000000000003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245.6</v>
      </c>
      <c r="C73" s="65">
        <v>152</v>
      </c>
      <c r="D73" s="65">
        <v>155.19999999999999</v>
      </c>
      <c r="E73" s="65">
        <v>156.1</v>
      </c>
      <c r="F73" s="65">
        <v>160.5</v>
      </c>
      <c r="G73" s="65">
        <v>182</v>
      </c>
      <c r="H73" s="65">
        <v>232</v>
      </c>
      <c r="I73" s="65">
        <v>222</v>
      </c>
      <c r="J73" s="65">
        <v>235</v>
      </c>
      <c r="K73" s="65">
        <v>211</v>
      </c>
      <c r="L73" s="65">
        <v>155</v>
      </c>
      <c r="M73" s="65">
        <v>78</v>
      </c>
      <c r="N73" s="65">
        <v>84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199</v>
      </c>
      <c r="W73" s="65">
        <v>280</v>
      </c>
      <c r="X73" s="65">
        <v>293</v>
      </c>
      <c r="Y73" s="65">
        <v>280</v>
      </c>
      <c r="Z73" s="65">
        <v>282.3</v>
      </c>
      <c r="AA73" s="65">
        <v>286</v>
      </c>
      <c r="AB73" s="65">
        <v>282</v>
      </c>
      <c r="AC73" s="65">
        <v>197</v>
      </c>
      <c r="AD73" s="65">
        <v>199</v>
      </c>
      <c r="AE73" s="65">
        <v>189</v>
      </c>
      <c r="AF73" s="65">
        <v>189</v>
      </c>
      <c r="AG73" s="75"/>
      <c r="AH73" s="47">
        <f t="shared" si="2"/>
        <v>293</v>
      </c>
      <c r="AI73" s="48">
        <f t="shared" si="3"/>
        <v>0</v>
      </c>
      <c r="AK73" s="49"/>
    </row>
    <row r="74" spans="1:40" x14ac:dyDescent="0.25">
      <c r="A74" s="53" t="s">
        <v>78</v>
      </c>
      <c r="B74" s="65">
        <v>20</v>
      </c>
      <c r="C74" s="65">
        <v>57.2</v>
      </c>
      <c r="D74" s="65">
        <v>54.8</v>
      </c>
      <c r="E74" s="76">
        <v>53.7</v>
      </c>
      <c r="F74" s="76">
        <v>53.3</v>
      </c>
      <c r="G74" s="76">
        <v>54</v>
      </c>
      <c r="H74" s="76">
        <v>53.3</v>
      </c>
      <c r="I74" s="76">
        <v>58.8</v>
      </c>
      <c r="J74" s="76">
        <v>57.4</v>
      </c>
      <c r="K74" s="76">
        <v>57.8</v>
      </c>
      <c r="L74" s="76">
        <v>58.5</v>
      </c>
      <c r="M74" s="76">
        <v>54</v>
      </c>
      <c r="N74" s="76">
        <v>54</v>
      </c>
      <c r="O74" s="76">
        <v>53</v>
      </c>
      <c r="P74" s="76">
        <v>52.5</v>
      </c>
      <c r="Q74" s="76">
        <v>52.5</v>
      </c>
      <c r="R74" s="76">
        <v>50</v>
      </c>
      <c r="S74" s="76">
        <v>46.9</v>
      </c>
      <c r="T74" s="76">
        <v>47.8</v>
      </c>
      <c r="U74" s="76">
        <v>48.3</v>
      </c>
      <c r="V74" s="76">
        <v>44.1</v>
      </c>
      <c r="W74" s="76">
        <v>44</v>
      </c>
      <c r="X74" s="76">
        <v>44</v>
      </c>
      <c r="Y74" s="76">
        <v>53.9</v>
      </c>
      <c r="Z74" s="76">
        <v>44</v>
      </c>
      <c r="AA74" s="76">
        <v>44</v>
      </c>
      <c r="AB74" s="76">
        <v>47.2</v>
      </c>
      <c r="AC74" s="76">
        <v>46</v>
      </c>
      <c r="AD74" s="76">
        <v>36</v>
      </c>
      <c r="AE74" s="76">
        <v>20</v>
      </c>
      <c r="AF74" s="76">
        <v>0</v>
      </c>
      <c r="AG74" s="75"/>
      <c r="AH74" s="47">
        <f t="shared" si="2"/>
        <v>58.8</v>
      </c>
      <c r="AI74" s="48">
        <f t="shared" si="3"/>
        <v>0</v>
      </c>
      <c r="AK74" s="49"/>
    </row>
    <row r="75" spans="1:40" x14ac:dyDescent="0.25">
      <c r="A75" s="53" t="s">
        <v>79</v>
      </c>
      <c r="B75" s="45">
        <v>50</v>
      </c>
      <c r="C75" s="45">
        <v>49</v>
      </c>
      <c r="D75" s="45">
        <v>49</v>
      </c>
      <c r="E75" s="45">
        <v>49</v>
      </c>
      <c r="F75" s="45">
        <v>47</v>
      </c>
      <c r="G75" s="45">
        <v>47</v>
      </c>
      <c r="H75" s="45">
        <v>46</v>
      </c>
      <c r="I75" s="45">
        <v>47</v>
      </c>
      <c r="J75" s="45">
        <v>47</v>
      </c>
      <c r="K75" s="45">
        <v>36</v>
      </c>
      <c r="L75" s="45">
        <v>30</v>
      </c>
      <c r="M75" s="45">
        <v>62</v>
      </c>
      <c r="N75" s="45">
        <v>62</v>
      </c>
      <c r="O75" s="45">
        <v>62</v>
      </c>
      <c r="P75" s="45">
        <v>40</v>
      </c>
      <c r="Q75" s="45">
        <v>40</v>
      </c>
      <c r="R75" s="45">
        <v>50</v>
      </c>
      <c r="S75" s="45">
        <v>47</v>
      </c>
      <c r="T75" s="45">
        <v>46</v>
      </c>
      <c r="U75" s="45">
        <v>42</v>
      </c>
      <c r="V75" s="45">
        <v>42</v>
      </c>
      <c r="W75" s="45">
        <v>42</v>
      </c>
      <c r="X75" s="45">
        <v>25</v>
      </c>
      <c r="Y75" s="45">
        <v>33</v>
      </c>
      <c r="Z75" s="45">
        <v>42</v>
      </c>
      <c r="AA75" s="45">
        <v>42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7" si="12">MAX(B75:AF75)</f>
        <v>62</v>
      </c>
      <c r="AI75" s="48">
        <f t="shared" ref="AI75:AI117" si="13">MIN(B75:AF75)</f>
        <v>0</v>
      </c>
      <c r="AK75" s="49"/>
    </row>
    <row r="76" spans="1:40" x14ac:dyDescent="0.25">
      <c r="A76" s="53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12"/>
        <v>0</v>
      </c>
      <c r="AI76" s="48">
        <f t="shared" si="13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2"/>
        <v>0</v>
      </c>
      <c r="AI77" s="48">
        <f t="shared" si="13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2"/>
        <v>0</v>
      </c>
      <c r="AI78" s="48">
        <f t="shared" si="13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2"/>
        <v>0</v>
      </c>
      <c r="AI80" s="48">
        <f t="shared" si="13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2"/>
        <v>0</v>
      </c>
      <c r="AI81" s="48">
        <f t="shared" si="13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14">SUMIF(B71:B81,"&gt;0")</f>
        <v>375.4</v>
      </c>
      <c r="C82" s="60">
        <f t="shared" ref="C82:AF82" si="15">SUMIF(C71:C81,"&gt;0")</f>
        <v>316.2</v>
      </c>
      <c r="D82" s="60">
        <f t="shared" ref="D82" si="16">SUMIF(D71:D81,"&gt;0")</f>
        <v>316.3</v>
      </c>
      <c r="E82" s="60">
        <f t="shared" si="15"/>
        <v>318.8</v>
      </c>
      <c r="F82" s="60">
        <f t="shared" si="15"/>
        <v>321.89999999999998</v>
      </c>
      <c r="G82" s="60">
        <f t="shared" si="15"/>
        <v>347</v>
      </c>
      <c r="H82" s="60">
        <f t="shared" si="15"/>
        <v>384.3</v>
      </c>
      <c r="I82" s="60">
        <f t="shared" si="15"/>
        <v>399.8</v>
      </c>
      <c r="J82" s="60">
        <f t="shared" si="15"/>
        <v>409.9</v>
      </c>
      <c r="K82" s="60">
        <f t="shared" si="15"/>
        <v>374.8</v>
      </c>
      <c r="L82" s="60">
        <f t="shared" si="15"/>
        <v>300.5</v>
      </c>
      <c r="M82" s="60">
        <f t="shared" si="15"/>
        <v>267</v>
      </c>
      <c r="N82" s="60">
        <f t="shared" si="15"/>
        <v>273</v>
      </c>
      <c r="O82" s="60">
        <f t="shared" si="15"/>
        <v>195.4</v>
      </c>
      <c r="P82" s="60">
        <f t="shared" si="15"/>
        <v>185.7</v>
      </c>
      <c r="Q82" s="60">
        <f t="shared" si="15"/>
        <v>189.7</v>
      </c>
      <c r="R82" s="60">
        <f t="shared" si="15"/>
        <v>198</v>
      </c>
      <c r="S82" s="60">
        <f t="shared" si="15"/>
        <v>192.70000000000002</v>
      </c>
      <c r="T82" s="60">
        <f t="shared" si="15"/>
        <v>192.1</v>
      </c>
      <c r="U82" s="60">
        <f t="shared" si="15"/>
        <v>176.2</v>
      </c>
      <c r="V82" s="60">
        <f t="shared" si="15"/>
        <v>353.1</v>
      </c>
      <c r="W82" s="60">
        <f t="shared" si="15"/>
        <v>430</v>
      </c>
      <c r="X82" s="60">
        <f t="shared" si="15"/>
        <v>434</v>
      </c>
      <c r="Y82" s="60">
        <v>441.4</v>
      </c>
      <c r="Z82" s="60">
        <f t="shared" si="15"/>
        <v>429.5</v>
      </c>
      <c r="AA82" s="60">
        <f t="shared" si="15"/>
        <v>436.6</v>
      </c>
      <c r="AB82" s="60">
        <f t="shared" si="15"/>
        <v>383.2</v>
      </c>
      <c r="AC82" s="60">
        <f t="shared" si="15"/>
        <v>298</v>
      </c>
      <c r="AD82" s="60">
        <f t="shared" si="15"/>
        <v>297</v>
      </c>
      <c r="AE82" s="60">
        <f t="shared" si="15"/>
        <v>267</v>
      </c>
      <c r="AF82" s="60">
        <f t="shared" si="15"/>
        <v>244</v>
      </c>
      <c r="AG82" s="88">
        <f>SUM(AG71:AG81)</f>
        <v>0</v>
      </c>
      <c r="AH82" s="47">
        <f t="shared" si="12"/>
        <v>441.4</v>
      </c>
      <c r="AI82" s="48">
        <f t="shared" si="13"/>
        <v>176.2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2"/>
        <v>0</v>
      </c>
      <c r="AI83" s="48">
        <f t="shared" si="13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2"/>
        <v>0</v>
      </c>
      <c r="AI84" s="48">
        <f t="shared" si="13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2"/>
        <v>0</v>
      </c>
      <c r="AI85" s="48">
        <f t="shared" si="13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>
        <v>0</v>
      </c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2"/>
        <v>0</v>
      </c>
      <c r="AI86" s="48">
        <f t="shared" si="13"/>
        <v>0</v>
      </c>
    </row>
    <row r="87" spans="1:40" ht="15.75" thickBot="1" x14ac:dyDescent="0.3">
      <c r="A87" s="74" t="s">
        <v>94</v>
      </c>
      <c r="B87" s="95">
        <f t="shared" ref="B87" si="17">B48+B52+B70+B66+B82+B86</f>
        <v>941.14</v>
      </c>
      <c r="C87" s="95">
        <f t="shared" ref="C87:AG87" si="18">C48+C52+C70+C66+C82+C86</f>
        <v>895.54</v>
      </c>
      <c r="D87" s="95">
        <f t="shared" si="18"/>
        <v>866.6400000000001</v>
      </c>
      <c r="E87" s="95">
        <f t="shared" si="18"/>
        <v>858.04</v>
      </c>
      <c r="F87" s="95">
        <f t="shared" si="18"/>
        <v>846.84</v>
      </c>
      <c r="G87" s="95">
        <f t="shared" si="18"/>
        <v>866.44</v>
      </c>
      <c r="H87" s="95">
        <f t="shared" si="18"/>
        <v>904.34000000000015</v>
      </c>
      <c r="I87" s="95">
        <f t="shared" si="18"/>
        <v>965.63999999999987</v>
      </c>
      <c r="J87" s="95">
        <f t="shared" si="18"/>
        <v>1012.9399999999999</v>
      </c>
      <c r="K87" s="95">
        <f t="shared" si="18"/>
        <v>1045.6400000000001</v>
      </c>
      <c r="L87" s="95">
        <f t="shared" si="18"/>
        <v>1120.6399999999999</v>
      </c>
      <c r="M87" s="95">
        <f t="shared" si="18"/>
        <v>1017.1399999999999</v>
      </c>
      <c r="N87" s="95">
        <f t="shared" si="18"/>
        <v>964.04</v>
      </c>
      <c r="O87" s="95">
        <f t="shared" si="18"/>
        <v>1010.2399999999999</v>
      </c>
      <c r="P87" s="95">
        <f t="shared" si="18"/>
        <v>966.93999999999983</v>
      </c>
      <c r="Q87" s="95">
        <f t="shared" si="18"/>
        <v>941.63999999999987</v>
      </c>
      <c r="R87" s="95">
        <f t="shared" si="18"/>
        <v>897.93999999999994</v>
      </c>
      <c r="S87" s="95">
        <f t="shared" si="18"/>
        <v>877.54</v>
      </c>
      <c r="T87" s="95">
        <f t="shared" si="18"/>
        <v>876.64</v>
      </c>
      <c r="U87" s="95">
        <f t="shared" si="18"/>
        <v>925.74</v>
      </c>
      <c r="V87" s="95">
        <f t="shared" si="18"/>
        <v>1023.4399999999999</v>
      </c>
      <c r="W87" s="95">
        <f t="shared" si="18"/>
        <v>1006.84</v>
      </c>
      <c r="X87" s="95">
        <f t="shared" si="18"/>
        <v>1080.3399999999999</v>
      </c>
      <c r="Y87" s="95">
        <v>1235.8400000000001</v>
      </c>
      <c r="Z87" s="95">
        <f t="shared" si="18"/>
        <v>1253.74</v>
      </c>
      <c r="AA87" s="95">
        <f t="shared" si="18"/>
        <v>1166.94</v>
      </c>
      <c r="AB87" s="95">
        <f t="shared" si="18"/>
        <v>1075.94</v>
      </c>
      <c r="AC87" s="95">
        <f t="shared" si="18"/>
        <v>1041.74</v>
      </c>
      <c r="AD87" s="95">
        <f t="shared" si="18"/>
        <v>1007.74</v>
      </c>
      <c r="AE87" s="95">
        <f t="shared" si="18"/>
        <v>912.74</v>
      </c>
      <c r="AF87" s="95">
        <f t="shared" si="18"/>
        <v>794.74</v>
      </c>
      <c r="AG87" s="61">
        <f t="shared" si="18"/>
        <v>2065.09</v>
      </c>
      <c r="AH87" s="47">
        <f>MAX(B87:AF87)</f>
        <v>1253.74</v>
      </c>
      <c r="AI87" s="48">
        <f>MIN(B87:AF87)</f>
        <v>794.74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4" t="s">
        <v>96</v>
      </c>
      <c r="B89" s="95">
        <f t="shared" ref="B89" si="19">B87+B88</f>
        <v>941.14</v>
      </c>
      <c r="C89" s="95">
        <f t="shared" ref="C89:AF89" si="20">C87+C88</f>
        <v>895.54</v>
      </c>
      <c r="D89" s="95">
        <f t="shared" si="20"/>
        <v>866.6400000000001</v>
      </c>
      <c r="E89" s="95">
        <f t="shared" si="20"/>
        <v>858.04</v>
      </c>
      <c r="F89" s="95">
        <f t="shared" si="20"/>
        <v>846.84</v>
      </c>
      <c r="G89" s="95">
        <f t="shared" si="20"/>
        <v>866.44</v>
      </c>
      <c r="H89" s="95">
        <f t="shared" si="20"/>
        <v>904.34000000000015</v>
      </c>
      <c r="I89" s="95">
        <f t="shared" si="20"/>
        <v>965.63999999999987</v>
      </c>
      <c r="J89" s="95">
        <f t="shared" si="20"/>
        <v>1012.9399999999999</v>
      </c>
      <c r="K89" s="95">
        <f t="shared" si="20"/>
        <v>1045.6400000000001</v>
      </c>
      <c r="L89" s="95">
        <f t="shared" si="20"/>
        <v>1120.6399999999999</v>
      </c>
      <c r="M89" s="95">
        <f t="shared" si="20"/>
        <v>1017.1399999999999</v>
      </c>
      <c r="N89" s="95">
        <f t="shared" si="20"/>
        <v>964.04</v>
      </c>
      <c r="O89" s="95">
        <f t="shared" si="20"/>
        <v>1010.2399999999999</v>
      </c>
      <c r="P89" s="95">
        <f t="shared" si="20"/>
        <v>966.93999999999983</v>
      </c>
      <c r="Q89" s="95">
        <f t="shared" si="20"/>
        <v>941.63999999999987</v>
      </c>
      <c r="R89" s="95">
        <f t="shared" si="20"/>
        <v>897.93999999999994</v>
      </c>
      <c r="S89" s="95">
        <f t="shared" si="20"/>
        <v>877.54</v>
      </c>
      <c r="T89" s="95">
        <f t="shared" si="20"/>
        <v>876.64</v>
      </c>
      <c r="U89" s="95">
        <f t="shared" si="20"/>
        <v>925.74</v>
      </c>
      <c r="V89" s="95">
        <f t="shared" si="20"/>
        <v>1023.4399999999999</v>
      </c>
      <c r="W89" s="95">
        <f t="shared" si="20"/>
        <v>1006.84</v>
      </c>
      <c r="X89" s="95">
        <f t="shared" si="20"/>
        <v>1080.3399999999999</v>
      </c>
      <c r="Y89" s="95">
        <v>1235.8400000000001</v>
      </c>
      <c r="Z89" s="95">
        <f t="shared" si="20"/>
        <v>1253.74</v>
      </c>
      <c r="AA89" s="95">
        <f t="shared" si="20"/>
        <v>1166.94</v>
      </c>
      <c r="AB89" s="95">
        <f t="shared" si="20"/>
        <v>1075.94</v>
      </c>
      <c r="AC89" s="95">
        <f t="shared" si="20"/>
        <v>1041.74</v>
      </c>
      <c r="AD89" s="95">
        <f t="shared" si="20"/>
        <v>1007.74</v>
      </c>
      <c r="AE89" s="95">
        <f t="shared" si="20"/>
        <v>912.74</v>
      </c>
      <c r="AF89" s="95">
        <f t="shared" si="20"/>
        <v>794.74</v>
      </c>
      <c r="AG89" s="88">
        <f>AG86+AG82+AG70+AG66+AG48+AG88</f>
        <v>1526.99</v>
      </c>
      <c r="AH89" s="47">
        <f t="shared" si="12"/>
        <v>1253.74</v>
      </c>
      <c r="AI89" s="48">
        <f t="shared" si="13"/>
        <v>794.74</v>
      </c>
    </row>
    <row r="90" spans="1:40" ht="15.75" thickBot="1" x14ac:dyDescent="0.3">
      <c r="A90" s="74" t="s">
        <v>97</v>
      </c>
      <c r="B90" s="95">
        <f t="shared" ref="B90" si="21">B89-B97</f>
        <v>941.14</v>
      </c>
      <c r="C90" s="95">
        <f t="shared" ref="C90:AF90" si="22">C89-C97</f>
        <v>895.54</v>
      </c>
      <c r="D90" s="95">
        <f t="shared" si="22"/>
        <v>866.6400000000001</v>
      </c>
      <c r="E90" s="95">
        <f t="shared" si="22"/>
        <v>858.04</v>
      </c>
      <c r="F90" s="95">
        <f t="shared" si="22"/>
        <v>846.84</v>
      </c>
      <c r="G90" s="95">
        <f t="shared" si="22"/>
        <v>866.44</v>
      </c>
      <c r="H90" s="95">
        <f t="shared" si="22"/>
        <v>904.34000000000015</v>
      </c>
      <c r="I90" s="95">
        <f t="shared" si="22"/>
        <v>965.63999999999987</v>
      </c>
      <c r="J90" s="95">
        <f t="shared" si="22"/>
        <v>1012.9399999999999</v>
      </c>
      <c r="K90" s="95">
        <f t="shared" si="22"/>
        <v>1045.6400000000001</v>
      </c>
      <c r="L90" s="95">
        <f t="shared" si="22"/>
        <v>1120.6399999999999</v>
      </c>
      <c r="M90" s="95">
        <f t="shared" si="22"/>
        <v>1017.1399999999999</v>
      </c>
      <c r="N90" s="95">
        <f t="shared" si="22"/>
        <v>964.04</v>
      </c>
      <c r="O90" s="95">
        <f t="shared" si="22"/>
        <v>1010.2399999999999</v>
      </c>
      <c r="P90" s="95">
        <f t="shared" si="22"/>
        <v>966.93999999999983</v>
      </c>
      <c r="Q90" s="95">
        <f t="shared" si="22"/>
        <v>941.63999999999987</v>
      </c>
      <c r="R90" s="95">
        <f t="shared" si="22"/>
        <v>897.93999999999994</v>
      </c>
      <c r="S90" s="95">
        <f t="shared" si="22"/>
        <v>877.54</v>
      </c>
      <c r="T90" s="95">
        <f t="shared" si="22"/>
        <v>876.64</v>
      </c>
      <c r="U90" s="95">
        <f t="shared" si="22"/>
        <v>925.74</v>
      </c>
      <c r="V90" s="95">
        <f t="shared" si="22"/>
        <v>1023.4399999999999</v>
      </c>
      <c r="W90" s="95">
        <f t="shared" si="22"/>
        <v>1006.84</v>
      </c>
      <c r="X90" s="95">
        <f t="shared" si="22"/>
        <v>1080.3399999999999</v>
      </c>
      <c r="Y90" s="95">
        <v>1235.8400000000001</v>
      </c>
      <c r="Z90" s="95">
        <f t="shared" si="22"/>
        <v>1253.74</v>
      </c>
      <c r="AA90" s="95">
        <f t="shared" si="22"/>
        <v>1166.94</v>
      </c>
      <c r="AB90" s="95">
        <f t="shared" si="22"/>
        <v>1075.94</v>
      </c>
      <c r="AC90" s="95">
        <f t="shared" si="22"/>
        <v>1041.74</v>
      </c>
      <c r="AD90" s="95">
        <f t="shared" si="22"/>
        <v>1007.74</v>
      </c>
      <c r="AE90" s="95">
        <f t="shared" si="22"/>
        <v>912.74</v>
      </c>
      <c r="AF90" s="95">
        <f t="shared" si="22"/>
        <v>794.74</v>
      </c>
      <c r="AG90" s="88"/>
      <c r="AH90" s="47">
        <f t="shared" si="12"/>
        <v>1253.74</v>
      </c>
      <c r="AI90" s="48">
        <f t="shared" si="13"/>
        <v>794.74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2"/>
        <v>0</v>
      </c>
      <c r="AI91" s="48">
        <f t="shared" si="13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2"/>
        <v>0</v>
      </c>
      <c r="AI92" s="48">
        <f t="shared" si="13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2"/>
        <v>0</v>
      </c>
      <c r="AI93" s="48">
        <f t="shared" si="13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2"/>
        <v>0</v>
      </c>
      <c r="AI96" s="48">
        <f t="shared" si="13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>
        <v>0</v>
      </c>
      <c r="Z97" s="60"/>
      <c r="AA97" s="60"/>
      <c r="AB97" s="60"/>
      <c r="AC97" s="60"/>
      <c r="AD97" s="60"/>
      <c r="AE97" s="60"/>
      <c r="AF97" s="60"/>
      <c r="AG97" s="88"/>
      <c r="AH97" s="47">
        <f t="shared" si="12"/>
        <v>0</v>
      </c>
      <c r="AI97" s="48">
        <f t="shared" si="13"/>
        <v>0</v>
      </c>
      <c r="AK97" s="49"/>
    </row>
    <row r="98" spans="1:37" ht="15.75" thickBot="1" x14ac:dyDescent="0.3">
      <c r="A98" s="74" t="s">
        <v>102</v>
      </c>
      <c r="B98" s="60">
        <f t="shared" ref="B98" si="23">B82-B97</f>
        <v>375.4</v>
      </c>
      <c r="C98" s="60">
        <f t="shared" ref="C98:AF98" si="24">C82-C97</f>
        <v>316.2</v>
      </c>
      <c r="D98" s="60">
        <f t="shared" si="24"/>
        <v>316.3</v>
      </c>
      <c r="E98" s="60">
        <f t="shared" si="24"/>
        <v>318.8</v>
      </c>
      <c r="F98" s="60">
        <f t="shared" si="24"/>
        <v>321.89999999999998</v>
      </c>
      <c r="G98" s="60">
        <f t="shared" si="24"/>
        <v>347</v>
      </c>
      <c r="H98" s="60">
        <f t="shared" si="24"/>
        <v>384.3</v>
      </c>
      <c r="I98" s="60">
        <f t="shared" si="24"/>
        <v>399.8</v>
      </c>
      <c r="J98" s="60">
        <f t="shared" si="24"/>
        <v>409.9</v>
      </c>
      <c r="K98" s="60">
        <f t="shared" si="24"/>
        <v>374.8</v>
      </c>
      <c r="L98" s="60">
        <f t="shared" si="24"/>
        <v>300.5</v>
      </c>
      <c r="M98" s="60">
        <f t="shared" si="24"/>
        <v>267</v>
      </c>
      <c r="N98" s="60">
        <f t="shared" si="24"/>
        <v>273</v>
      </c>
      <c r="O98" s="60">
        <f t="shared" si="24"/>
        <v>195.4</v>
      </c>
      <c r="P98" s="60">
        <f t="shared" si="24"/>
        <v>185.7</v>
      </c>
      <c r="Q98" s="60">
        <f t="shared" si="24"/>
        <v>189.7</v>
      </c>
      <c r="R98" s="60">
        <f t="shared" si="24"/>
        <v>198</v>
      </c>
      <c r="S98" s="60">
        <f t="shared" si="24"/>
        <v>192.70000000000002</v>
      </c>
      <c r="T98" s="60">
        <f t="shared" si="24"/>
        <v>192.1</v>
      </c>
      <c r="U98" s="60">
        <f t="shared" si="24"/>
        <v>176.2</v>
      </c>
      <c r="V98" s="60">
        <f t="shared" si="24"/>
        <v>353.1</v>
      </c>
      <c r="W98" s="60">
        <f t="shared" si="24"/>
        <v>430</v>
      </c>
      <c r="X98" s="60">
        <f t="shared" si="24"/>
        <v>434</v>
      </c>
      <c r="Y98" s="60">
        <v>441.4</v>
      </c>
      <c r="Z98" s="60">
        <f t="shared" si="24"/>
        <v>429.5</v>
      </c>
      <c r="AA98" s="60">
        <f t="shared" si="24"/>
        <v>436.6</v>
      </c>
      <c r="AB98" s="60">
        <f t="shared" si="24"/>
        <v>383.2</v>
      </c>
      <c r="AC98" s="60">
        <f t="shared" si="24"/>
        <v>298</v>
      </c>
      <c r="AD98" s="60">
        <f t="shared" si="24"/>
        <v>297</v>
      </c>
      <c r="AE98" s="60">
        <f t="shared" si="24"/>
        <v>267</v>
      </c>
      <c r="AF98" s="60">
        <f t="shared" si="24"/>
        <v>244</v>
      </c>
      <c r="AG98" s="88"/>
      <c r="AH98" s="47">
        <f t="shared" si="12"/>
        <v>441.4</v>
      </c>
      <c r="AI98" s="48">
        <f t="shared" si="13"/>
        <v>176.2</v>
      </c>
    </row>
    <row r="99" spans="1:37" x14ac:dyDescent="0.25">
      <c r="A99" s="100" t="s">
        <v>103</v>
      </c>
      <c r="B99" s="101">
        <v>49.9</v>
      </c>
      <c r="C99" s="101">
        <v>49.8</v>
      </c>
      <c r="D99" s="101">
        <v>50.03</v>
      </c>
      <c r="E99" s="101">
        <v>50.012500000000003</v>
      </c>
      <c r="F99" s="101">
        <v>50.009</v>
      </c>
      <c r="G99" s="101">
        <v>50.009</v>
      </c>
      <c r="H99" s="101">
        <v>50.106000000000002</v>
      </c>
      <c r="I99" s="101">
        <v>49.996000000000002</v>
      </c>
      <c r="J99" s="101">
        <v>50.110999999999997</v>
      </c>
      <c r="K99" s="101">
        <v>49.963999999999999</v>
      </c>
      <c r="L99" s="101">
        <v>50.000999999999998</v>
      </c>
      <c r="M99" s="101">
        <v>50.070999999999998</v>
      </c>
      <c r="N99" s="101">
        <v>49.951999999999998</v>
      </c>
      <c r="O99" s="101">
        <v>50.036999999999999</v>
      </c>
      <c r="P99" s="101">
        <v>49.99</v>
      </c>
      <c r="Q99" s="101">
        <v>49.881</v>
      </c>
      <c r="R99" s="101">
        <v>49.966999999999999</v>
      </c>
      <c r="S99" s="101">
        <v>49.951999999999998</v>
      </c>
      <c r="T99" s="101">
        <v>49.737000000000002</v>
      </c>
      <c r="U99" s="101">
        <v>50.088999999999999</v>
      </c>
      <c r="V99" s="101">
        <v>50.220999999999997</v>
      </c>
      <c r="W99" s="101">
        <v>50.109000000000002</v>
      </c>
      <c r="X99" s="101">
        <v>49.991</v>
      </c>
      <c r="Y99" s="101">
        <v>49.994999999999997</v>
      </c>
      <c r="Z99" s="101">
        <v>50.103000000000002</v>
      </c>
      <c r="AA99" s="101">
        <v>50.125</v>
      </c>
      <c r="AB99" s="101">
        <v>50.040999999999997</v>
      </c>
      <c r="AC99" s="101">
        <v>49.948999999999998</v>
      </c>
      <c r="AD99" s="101">
        <v>50.036999999999999</v>
      </c>
      <c r="AE99" s="101">
        <v>50.100999999999999</v>
      </c>
      <c r="AF99" s="101">
        <v>50.064999999999998</v>
      </c>
      <c r="AG99" s="102"/>
      <c r="AH99" s="47">
        <f t="shared" si="12"/>
        <v>50.220999999999997</v>
      </c>
      <c r="AI99" s="48">
        <f t="shared" si="13"/>
        <v>49.737000000000002</v>
      </c>
    </row>
    <row r="100" spans="1:37" x14ac:dyDescent="0.25">
      <c r="A100" s="103" t="s">
        <v>104</v>
      </c>
      <c r="B100" s="65">
        <v>132.19999999999999</v>
      </c>
      <c r="C100" s="65">
        <v>132.30000000000001</v>
      </c>
      <c r="D100" s="65">
        <v>133.4</v>
      </c>
      <c r="E100" s="65">
        <v>133.6</v>
      </c>
      <c r="F100" s="65">
        <v>134.30000000000001</v>
      </c>
      <c r="G100" s="65">
        <v>134.30000000000001</v>
      </c>
      <c r="H100" s="65">
        <v>132.1</v>
      </c>
      <c r="I100" s="65">
        <v>130.19999999999999</v>
      </c>
      <c r="J100" s="65">
        <v>129.30000000000001</v>
      </c>
      <c r="K100" s="65">
        <v>128.4</v>
      </c>
      <c r="L100" s="65">
        <v>128</v>
      </c>
      <c r="M100" s="65">
        <v>127.6</v>
      </c>
      <c r="N100" s="65">
        <v>129.9</v>
      </c>
      <c r="O100" s="65">
        <v>131.1</v>
      </c>
      <c r="P100" s="65">
        <v>130</v>
      </c>
      <c r="Q100" s="65">
        <v>129.69999999999999</v>
      </c>
      <c r="R100" s="65">
        <v>130.4</v>
      </c>
      <c r="S100" s="65">
        <v>130.4</v>
      </c>
      <c r="T100" s="65">
        <v>129.69999999999999</v>
      </c>
      <c r="U100" s="65">
        <v>130.56</v>
      </c>
      <c r="V100" s="65">
        <v>130.4</v>
      </c>
      <c r="W100" s="65">
        <v>128.69999999999999</v>
      </c>
      <c r="X100" s="65">
        <v>127.2</v>
      </c>
      <c r="Y100" s="65">
        <v>127.2</v>
      </c>
      <c r="Z100" s="65">
        <v>126.6</v>
      </c>
      <c r="AA100" s="65">
        <v>128.4</v>
      </c>
      <c r="AB100" s="65">
        <v>127.6</v>
      </c>
      <c r="AC100" s="65">
        <v>128.5</v>
      </c>
      <c r="AD100" s="65">
        <v>129.1</v>
      </c>
      <c r="AE100" s="65">
        <v>130.80000000000001</v>
      </c>
      <c r="AF100" s="65">
        <v>132</v>
      </c>
      <c r="AG100" s="104"/>
      <c r="AH100" s="47">
        <f t="shared" si="12"/>
        <v>134.30000000000001</v>
      </c>
      <c r="AI100" s="48">
        <f t="shared" si="13"/>
        <v>126.6</v>
      </c>
    </row>
    <row r="101" spans="1:37" x14ac:dyDescent="0.25">
      <c r="A101" s="103" t="s">
        <v>105</v>
      </c>
      <c r="B101" s="65">
        <v>134.9</v>
      </c>
      <c r="C101" s="65">
        <v>135.1</v>
      </c>
      <c r="D101" s="65">
        <v>136</v>
      </c>
      <c r="E101" s="65">
        <v>136.19999999999999</v>
      </c>
      <c r="F101" s="65">
        <v>136.69999999999999</v>
      </c>
      <c r="G101" s="65">
        <v>136.69999999999999</v>
      </c>
      <c r="H101" s="65">
        <v>134.6</v>
      </c>
      <c r="I101" s="65">
        <v>132.5</v>
      </c>
      <c r="J101" s="65">
        <v>131.1</v>
      </c>
      <c r="K101" s="65">
        <v>130.1</v>
      </c>
      <c r="L101" s="65">
        <v>129.80000000000001</v>
      </c>
      <c r="M101" s="65">
        <v>130</v>
      </c>
      <c r="N101" s="65">
        <v>132.1</v>
      </c>
      <c r="O101" s="65">
        <v>132.9</v>
      </c>
      <c r="P101" s="65">
        <v>131</v>
      </c>
      <c r="Q101" s="65">
        <v>131.1</v>
      </c>
      <c r="R101" s="65">
        <v>131.6</v>
      </c>
      <c r="S101" s="65">
        <v>132.5</v>
      </c>
      <c r="T101" s="65">
        <v>131.19999999999999</v>
      </c>
      <c r="U101" s="65">
        <v>131.80000000000001</v>
      </c>
      <c r="V101" s="65">
        <v>131.80000000000001</v>
      </c>
      <c r="W101" s="65">
        <v>130.4</v>
      </c>
      <c r="X101" s="65">
        <v>129.1</v>
      </c>
      <c r="Y101" s="65">
        <v>129.5</v>
      </c>
      <c r="Z101" s="65">
        <v>129</v>
      </c>
      <c r="AA101" s="65">
        <v>130.80000000000001</v>
      </c>
      <c r="AB101" s="65">
        <v>130</v>
      </c>
      <c r="AC101" s="65">
        <v>131.1</v>
      </c>
      <c r="AD101" s="65">
        <v>131.80000000000001</v>
      </c>
      <c r="AE101" s="65">
        <v>134</v>
      </c>
      <c r="AF101" s="65">
        <v>135</v>
      </c>
      <c r="AG101" s="104"/>
      <c r="AH101" s="47">
        <f t="shared" si="12"/>
        <v>136.69999999999999</v>
      </c>
      <c r="AI101" s="48">
        <f t="shared" si="13"/>
        <v>129</v>
      </c>
    </row>
    <row r="102" spans="1:37" x14ac:dyDescent="0.25">
      <c r="A102" s="103" t="s">
        <v>106</v>
      </c>
      <c r="B102" s="65">
        <v>131.80000000000001</v>
      </c>
      <c r="C102" s="65">
        <v>135.5</v>
      </c>
      <c r="D102" s="65">
        <v>129.80000000000001</v>
      </c>
      <c r="E102" s="65">
        <v>130.4</v>
      </c>
      <c r="F102" s="65">
        <v>131.4</v>
      </c>
      <c r="G102" s="65">
        <v>131.4</v>
      </c>
      <c r="H102" s="65">
        <v>130.30000000000001</v>
      </c>
      <c r="I102" s="65">
        <v>132.30000000000001</v>
      </c>
      <c r="J102" s="65">
        <v>131.6</v>
      </c>
      <c r="K102" s="65">
        <v>130.69999999999999</v>
      </c>
      <c r="L102" s="65">
        <v>128</v>
      </c>
      <c r="M102" s="65">
        <v>131</v>
      </c>
      <c r="N102" s="65">
        <v>132.5</v>
      </c>
      <c r="O102" s="65">
        <v>132.30000000000001</v>
      </c>
      <c r="P102" s="65">
        <v>131</v>
      </c>
      <c r="Q102" s="65">
        <v>132</v>
      </c>
      <c r="R102" s="65">
        <v>133.5</v>
      </c>
      <c r="S102" s="65">
        <v>133.6</v>
      </c>
      <c r="T102" s="65">
        <v>132.1</v>
      </c>
      <c r="U102" s="65">
        <v>133.30000000000001</v>
      </c>
      <c r="V102" s="65">
        <v>131.19999999999999</v>
      </c>
      <c r="W102" s="65">
        <v>130.5</v>
      </c>
      <c r="X102" s="65">
        <v>129.9</v>
      </c>
      <c r="Y102" s="65">
        <v>128.30000000000001</v>
      </c>
      <c r="Z102" s="65">
        <v>130.69999999999999</v>
      </c>
      <c r="AA102" s="65">
        <v>132.80000000000001</v>
      </c>
      <c r="AB102" s="65">
        <v>130.30000000000001</v>
      </c>
      <c r="AC102" s="65">
        <v>131</v>
      </c>
      <c r="AD102" s="65">
        <v>132.1</v>
      </c>
      <c r="AE102" s="65">
        <v>132.5</v>
      </c>
      <c r="AF102" s="65">
        <v>133</v>
      </c>
      <c r="AG102" s="104"/>
      <c r="AH102" s="47">
        <f t="shared" si="12"/>
        <v>135.5</v>
      </c>
      <c r="AI102" s="48">
        <f t="shared" si="13"/>
        <v>128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2"/>
        <v>0</v>
      </c>
      <c r="AI103" s="48">
        <f t="shared" si="13"/>
        <v>0</v>
      </c>
    </row>
    <row r="104" spans="1:37" x14ac:dyDescent="0.25">
      <c r="A104" s="105" t="s">
        <v>108</v>
      </c>
      <c r="B104" s="106">
        <v>136</v>
      </c>
      <c r="C104" s="106">
        <v>132.6</v>
      </c>
      <c r="D104" s="106">
        <v>134.80000000000001</v>
      </c>
      <c r="E104" s="106">
        <v>134.19999999999999</v>
      </c>
      <c r="F104" s="106">
        <v>135.4</v>
      </c>
      <c r="G104" s="106">
        <v>135.4</v>
      </c>
      <c r="H104" s="106">
        <v>133.9</v>
      </c>
      <c r="I104" s="106">
        <v>132.69999999999999</v>
      </c>
      <c r="J104" s="106">
        <v>132</v>
      </c>
      <c r="K104" s="106">
        <v>133.4</v>
      </c>
      <c r="L104" s="106">
        <v>133.30000000000001</v>
      </c>
      <c r="M104" s="106">
        <v>135.6</v>
      </c>
      <c r="N104" s="106">
        <v>136.69999999999999</v>
      </c>
      <c r="O104" s="106">
        <v>136.9</v>
      </c>
      <c r="P104" s="106">
        <v>137</v>
      </c>
      <c r="Q104" s="106">
        <v>134.4</v>
      </c>
      <c r="R104" s="106">
        <v>136.9</v>
      </c>
      <c r="S104" s="106">
        <v>137.19999999999999</v>
      </c>
      <c r="T104" s="106">
        <v>137.19999999999999</v>
      </c>
      <c r="U104" s="106">
        <v>136.9</v>
      </c>
      <c r="V104" s="106">
        <v>135.5</v>
      </c>
      <c r="W104" s="106">
        <v>134.1</v>
      </c>
      <c r="X104" s="106">
        <v>133</v>
      </c>
      <c r="Y104" s="106">
        <v>134.80000000000001</v>
      </c>
      <c r="Z104" s="106">
        <v>135.5</v>
      </c>
      <c r="AA104" s="106">
        <v>134.6</v>
      </c>
      <c r="AB104" s="106">
        <v>135.5</v>
      </c>
      <c r="AC104" s="106">
        <v>136.1</v>
      </c>
      <c r="AD104" s="106">
        <v>134.19999999999999</v>
      </c>
      <c r="AE104" s="106">
        <v>135.4</v>
      </c>
      <c r="AF104" s="106">
        <v>135</v>
      </c>
      <c r="AG104" s="107"/>
      <c r="AH104" s="47">
        <f t="shared" si="12"/>
        <v>137.19999999999999</v>
      </c>
      <c r="AI104" s="48">
        <f t="shared" si="13"/>
        <v>132</v>
      </c>
    </row>
    <row r="105" spans="1:37" x14ac:dyDescent="0.25">
      <c r="A105" s="103" t="s">
        <v>109</v>
      </c>
      <c r="B105" s="65">
        <v>133.80000000000001</v>
      </c>
      <c r="C105" s="65">
        <v>135</v>
      </c>
      <c r="D105" s="65">
        <v>135</v>
      </c>
      <c r="E105" s="65">
        <v>136.80000000000001</v>
      </c>
      <c r="F105" s="65">
        <v>132.69999999999999</v>
      </c>
      <c r="G105" s="65">
        <v>132.69999999999999</v>
      </c>
      <c r="H105" s="65">
        <v>135.30000000000001</v>
      </c>
      <c r="I105" s="65">
        <v>132.30000000000001</v>
      </c>
      <c r="J105" s="65">
        <v>130.4</v>
      </c>
      <c r="K105" s="65">
        <v>125</v>
      </c>
      <c r="L105" s="65">
        <v>129.30000000000001</v>
      </c>
      <c r="M105" s="65">
        <v>132</v>
      </c>
      <c r="N105" s="65">
        <v>129.1</v>
      </c>
      <c r="O105" s="65">
        <v>131.19999999999999</v>
      </c>
      <c r="P105" s="65">
        <v>131.69999999999999</v>
      </c>
      <c r="Q105" s="65">
        <v>132.69999999999999</v>
      </c>
      <c r="R105" s="65">
        <v>133.4</v>
      </c>
      <c r="S105" s="65">
        <v>133.30000000000001</v>
      </c>
      <c r="T105" s="65">
        <v>133.4</v>
      </c>
      <c r="U105" s="65">
        <v>133.9</v>
      </c>
      <c r="V105" s="65">
        <v>133.5</v>
      </c>
      <c r="W105" s="65">
        <v>134.1</v>
      </c>
      <c r="X105" s="65">
        <v>130.1</v>
      </c>
      <c r="Y105" s="65">
        <v>129.80000000000001</v>
      </c>
      <c r="Z105" s="65">
        <v>128.69999999999999</v>
      </c>
      <c r="AA105" s="65">
        <v>128.6</v>
      </c>
      <c r="AB105" s="65">
        <v>132.30000000000001</v>
      </c>
      <c r="AC105" s="65">
        <v>131.9</v>
      </c>
      <c r="AD105" s="65">
        <v>133.19999999999999</v>
      </c>
      <c r="AE105" s="65">
        <v>134.19999999999999</v>
      </c>
      <c r="AF105" s="65">
        <v>136</v>
      </c>
      <c r="AG105" s="104"/>
      <c r="AH105" s="47">
        <f t="shared" si="12"/>
        <v>136.80000000000001</v>
      </c>
      <c r="AI105" s="48">
        <f t="shared" si="13"/>
        <v>125</v>
      </c>
    </row>
    <row r="106" spans="1:37" ht="15.75" thickBot="1" x14ac:dyDescent="0.3">
      <c r="A106" s="103" t="s">
        <v>110</v>
      </c>
      <c r="B106" s="92">
        <v>67.400000000000006</v>
      </c>
      <c r="C106" s="92">
        <v>67.099999999999994</v>
      </c>
      <c r="D106" s="92">
        <v>68</v>
      </c>
      <c r="E106" s="92">
        <v>68.2</v>
      </c>
      <c r="F106" s="92">
        <v>68</v>
      </c>
      <c r="G106" s="92">
        <v>68</v>
      </c>
      <c r="H106" s="92">
        <v>67.3</v>
      </c>
      <c r="I106" s="92">
        <v>66.400000000000006</v>
      </c>
      <c r="J106" s="92">
        <v>65.400000000000006</v>
      </c>
      <c r="K106" s="92">
        <v>64.8</v>
      </c>
      <c r="L106" s="92">
        <v>64.900000000000006</v>
      </c>
      <c r="M106" s="92">
        <v>65</v>
      </c>
      <c r="N106" s="92">
        <v>66</v>
      </c>
      <c r="O106" s="92">
        <v>66.2</v>
      </c>
      <c r="P106" s="92">
        <v>65.5</v>
      </c>
      <c r="Q106" s="92">
        <v>65.400000000000006</v>
      </c>
      <c r="R106" s="92">
        <v>65.599999999999994</v>
      </c>
      <c r="S106" s="92">
        <v>65.7</v>
      </c>
      <c r="T106" s="92">
        <v>65.400000000000006</v>
      </c>
      <c r="U106" s="92">
        <v>65.7</v>
      </c>
      <c r="V106" s="92">
        <v>65.900000000000006</v>
      </c>
      <c r="W106" s="92">
        <v>65.2</v>
      </c>
      <c r="X106" s="92">
        <v>64.8</v>
      </c>
      <c r="Y106" s="92">
        <v>64.8</v>
      </c>
      <c r="Z106" s="92">
        <v>65</v>
      </c>
      <c r="AA106" s="92">
        <v>65.599999999999994</v>
      </c>
      <c r="AB106" s="92">
        <v>65.2</v>
      </c>
      <c r="AC106" s="92">
        <v>65.7</v>
      </c>
      <c r="AD106" s="92">
        <v>66.2</v>
      </c>
      <c r="AE106" s="92">
        <v>67.3</v>
      </c>
      <c r="AF106" s="92">
        <v>67</v>
      </c>
      <c r="AG106" s="108"/>
      <c r="AH106" s="47">
        <f t="shared" si="12"/>
        <v>68.2</v>
      </c>
      <c r="AI106" s="48">
        <f t="shared" si="13"/>
        <v>64.8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2"/>
        <v>0</v>
      </c>
      <c r="AI107" s="48">
        <f t="shared" si="13"/>
        <v>0</v>
      </c>
    </row>
    <row r="108" spans="1:37" ht="15.75" thickBot="1" x14ac:dyDescent="0.3">
      <c r="A108" s="110" t="s">
        <v>112</v>
      </c>
      <c r="B108" s="111">
        <f t="shared" ref="B108" si="25">SUM(B18,B24,B27:B28,B56,B58:B59,B61,B63,B109:B113,B135,B141,B147,B156,B158,B170,B177,B180:B181,B188,B190,B192,B196:B198,B200:B202,B207,B213:B214,B216:B218,B226,B231)</f>
        <v>127.6</v>
      </c>
      <c r="C108" s="111">
        <f t="shared" ref="C108:AF108" si="26">SUM(C18,C24,C27:C28,C56,C58:C59,C61,C63,C109:C113,C135,C141,C147,C156,C158,C170,C177,C180:C181,C188,C190,C192,C196:C198,C200:C202,C207,C213:C214,C216:C218,C226,C231)</f>
        <v>99.240000000000009</v>
      </c>
      <c r="D108" s="111">
        <f t="shared" si="26"/>
        <v>98.94</v>
      </c>
      <c r="E108" s="111">
        <f t="shared" si="26"/>
        <v>98.039999999999992</v>
      </c>
      <c r="F108" s="111">
        <f t="shared" si="26"/>
        <v>100.64</v>
      </c>
      <c r="G108" s="111">
        <f t="shared" si="26"/>
        <v>133.84</v>
      </c>
      <c r="H108" s="111">
        <f t="shared" si="26"/>
        <v>151.74</v>
      </c>
      <c r="I108" s="111">
        <f t="shared" si="26"/>
        <v>192.14000000000001</v>
      </c>
      <c r="J108" s="111">
        <f t="shared" si="26"/>
        <v>229.84</v>
      </c>
      <c r="K108" s="111">
        <f t="shared" si="26"/>
        <v>269.03999999999996</v>
      </c>
      <c r="L108" s="111">
        <f t="shared" si="26"/>
        <v>312.14</v>
      </c>
      <c r="M108" s="111">
        <f t="shared" si="26"/>
        <v>301.64</v>
      </c>
      <c r="N108" s="111">
        <f t="shared" si="26"/>
        <v>278.54000000000002</v>
      </c>
      <c r="O108" s="111">
        <f t="shared" si="26"/>
        <v>289.83999999999997</v>
      </c>
      <c r="P108" s="111">
        <v>42</v>
      </c>
      <c r="Q108" s="111">
        <f t="shared" si="26"/>
        <v>240.29999999999995</v>
      </c>
      <c r="R108" s="111">
        <f t="shared" si="26"/>
        <v>232</v>
      </c>
      <c r="S108" s="111">
        <f t="shared" si="26"/>
        <v>207.29999999999998</v>
      </c>
      <c r="T108" s="111">
        <f t="shared" si="26"/>
        <v>222.6</v>
      </c>
      <c r="U108" s="111">
        <f t="shared" si="26"/>
        <v>236.3</v>
      </c>
      <c r="V108" s="111">
        <f t="shared" si="26"/>
        <v>254.60000000000002</v>
      </c>
      <c r="W108" s="111">
        <f t="shared" si="26"/>
        <v>263.7</v>
      </c>
      <c r="X108" s="111">
        <f t="shared" si="26"/>
        <v>308.3</v>
      </c>
      <c r="Y108" s="111">
        <f t="shared" si="26"/>
        <v>356.4</v>
      </c>
      <c r="Z108" s="111">
        <f t="shared" si="26"/>
        <v>329.1</v>
      </c>
      <c r="AA108" s="111">
        <f t="shared" si="26"/>
        <v>316.5</v>
      </c>
      <c r="AB108" s="111">
        <f t="shared" si="26"/>
        <v>279.39999999999998</v>
      </c>
      <c r="AC108" s="111">
        <f t="shared" si="26"/>
        <v>267.10000000000002</v>
      </c>
      <c r="AD108" s="111">
        <f t="shared" si="26"/>
        <v>237.1</v>
      </c>
      <c r="AE108" s="111">
        <f t="shared" si="26"/>
        <v>187.5</v>
      </c>
      <c r="AF108" s="111">
        <f t="shared" si="26"/>
        <v>138.19999999999999</v>
      </c>
      <c r="AG108" s="112"/>
      <c r="AH108" s="47">
        <f t="shared" si="12"/>
        <v>356.4</v>
      </c>
      <c r="AI108" s="48">
        <f t="shared" si="13"/>
        <v>42</v>
      </c>
    </row>
    <row r="109" spans="1:37" x14ac:dyDescent="0.25">
      <c r="A109" s="100" t="s">
        <v>113</v>
      </c>
      <c r="B109" s="113">
        <v>0</v>
      </c>
      <c r="C109" s="113">
        <v>2.7</v>
      </c>
      <c r="D109" s="113">
        <v>0</v>
      </c>
      <c r="E109" s="113">
        <v>-4.4000000000000004</v>
      </c>
      <c r="F109" s="113">
        <v>-11.6</v>
      </c>
      <c r="G109" s="113">
        <v>-11.6</v>
      </c>
      <c r="H109" s="113">
        <v>-14.3</v>
      </c>
      <c r="I109" s="113">
        <v>-11.1</v>
      </c>
      <c r="J109" s="113">
        <v>-4.5999999999999996</v>
      </c>
      <c r="K109" s="113">
        <v>12.7</v>
      </c>
      <c r="L109" s="113">
        <v>20.8</v>
      </c>
      <c r="M109" s="113">
        <v>11.8</v>
      </c>
      <c r="N109" s="113">
        <v>14.2</v>
      </c>
      <c r="O109" s="113">
        <v>21.5</v>
      </c>
      <c r="P109" s="113">
        <v>22.7</v>
      </c>
      <c r="Q109" s="113">
        <v>3.1</v>
      </c>
      <c r="R109" s="113">
        <v>19.100000000000001</v>
      </c>
      <c r="S109" s="113">
        <v>17.8</v>
      </c>
      <c r="T109" s="113">
        <v>18.7</v>
      </c>
      <c r="U109" s="113">
        <v>18</v>
      </c>
      <c r="V109" s="113">
        <v>6.8</v>
      </c>
      <c r="W109" s="113">
        <v>6</v>
      </c>
      <c r="X109" s="113">
        <v>10.1</v>
      </c>
      <c r="Y109" s="113">
        <v>25.9</v>
      </c>
      <c r="Z109" s="113">
        <v>19.899999999999999</v>
      </c>
      <c r="AA109" s="113">
        <v>20</v>
      </c>
      <c r="AB109" s="113">
        <v>22</v>
      </c>
      <c r="AC109" s="113">
        <v>32</v>
      </c>
      <c r="AD109" s="113">
        <v>29.3</v>
      </c>
      <c r="AE109" s="113">
        <v>25.1</v>
      </c>
      <c r="AF109" s="113">
        <v>2.2999999999999998</v>
      </c>
      <c r="AG109" s="114">
        <v>75</v>
      </c>
      <c r="AH109" s="47">
        <f t="shared" si="12"/>
        <v>32</v>
      </c>
      <c r="AI109" s="48">
        <f t="shared" si="13"/>
        <v>-14.3</v>
      </c>
    </row>
    <row r="110" spans="1:37" x14ac:dyDescent="0.25">
      <c r="A110" s="103" t="s">
        <v>114</v>
      </c>
      <c r="B110" s="115">
        <v>2.7</v>
      </c>
      <c r="C110" s="115">
        <v>8.6999999999999993</v>
      </c>
      <c r="D110" s="115">
        <v>2.5</v>
      </c>
      <c r="E110" s="115">
        <v>-2.2000000000000002</v>
      </c>
      <c r="F110" s="115">
        <v>-13</v>
      </c>
      <c r="G110" s="115">
        <v>-15</v>
      </c>
      <c r="H110" s="115">
        <v>-18.100000000000001</v>
      </c>
      <c r="I110" s="115">
        <v>-15.1</v>
      </c>
      <c r="J110" s="115">
        <v>-7.6</v>
      </c>
      <c r="K110" s="115">
        <v>11.3</v>
      </c>
      <c r="L110" s="115">
        <v>20.100000000000001</v>
      </c>
      <c r="M110" s="115">
        <v>11.3</v>
      </c>
      <c r="N110" s="115">
        <v>15.8</v>
      </c>
      <c r="O110" s="115">
        <v>25.7</v>
      </c>
      <c r="P110" s="115">
        <v>25.9</v>
      </c>
      <c r="Q110" s="115">
        <v>-3.4</v>
      </c>
      <c r="R110" s="115">
        <v>23</v>
      </c>
      <c r="S110" s="115">
        <v>22.1</v>
      </c>
      <c r="T110" s="115">
        <v>15.8</v>
      </c>
      <c r="U110" s="115">
        <v>21.4</v>
      </c>
      <c r="V110" s="115">
        <v>2.9</v>
      </c>
      <c r="W110" s="115">
        <v>0</v>
      </c>
      <c r="X110" s="115">
        <v>5.5</v>
      </c>
      <c r="Y110" s="115">
        <v>27</v>
      </c>
      <c r="Z110" s="115">
        <v>19</v>
      </c>
      <c r="AA110" s="115">
        <v>19</v>
      </c>
      <c r="AB110" s="115">
        <v>23.5</v>
      </c>
      <c r="AC110" s="115">
        <v>38.4</v>
      </c>
      <c r="AD110" s="115">
        <v>36.1</v>
      </c>
      <c r="AE110" s="115">
        <v>31.5</v>
      </c>
      <c r="AF110" s="115">
        <v>0</v>
      </c>
      <c r="AG110" s="114">
        <v>240</v>
      </c>
      <c r="AH110" s="47">
        <f t="shared" si="12"/>
        <v>38.4</v>
      </c>
      <c r="AI110" s="48">
        <f t="shared" si="13"/>
        <v>-18.100000000000001</v>
      </c>
    </row>
    <row r="111" spans="1:37" x14ac:dyDescent="0.25">
      <c r="A111" s="103" t="s">
        <v>115</v>
      </c>
      <c r="B111" s="115">
        <f>-7.9-7.9</f>
        <v>-15.8</v>
      </c>
      <c r="C111" s="115">
        <f>-14.5-16.4</f>
        <v>-30.9</v>
      </c>
      <c r="D111" s="115">
        <f>-13.6-14.8</f>
        <v>-28.4</v>
      </c>
      <c r="E111" s="115">
        <v>-25.4</v>
      </c>
      <c r="F111" s="115">
        <v>-18.2</v>
      </c>
      <c r="G111" s="115">
        <v>0</v>
      </c>
      <c r="H111" s="115">
        <v>6.1</v>
      </c>
      <c r="I111" s="115">
        <v>20.9</v>
      </c>
      <c r="J111" s="115">
        <v>30.2</v>
      </c>
      <c r="K111" s="115">
        <v>33.4</v>
      </c>
      <c r="L111" s="115">
        <v>39.4</v>
      </c>
      <c r="M111" s="115">
        <v>42</v>
      </c>
      <c r="N111" s="115">
        <f>8.3+8.8</f>
        <v>17.100000000000001</v>
      </c>
      <c r="O111" s="115">
        <v>-2.6</v>
      </c>
      <c r="P111" s="115">
        <v>15</v>
      </c>
      <c r="Q111" s="115">
        <v>30</v>
      </c>
      <c r="R111" s="115">
        <f>7.1+3.4</f>
        <v>10.5</v>
      </c>
      <c r="S111" s="115">
        <v>-15.6</v>
      </c>
      <c r="T111" s="115">
        <v>-4</v>
      </c>
      <c r="U111" s="115">
        <v>-2.6</v>
      </c>
      <c r="V111" s="115">
        <v>24.9</v>
      </c>
      <c r="W111" s="115">
        <v>33.200000000000003</v>
      </c>
      <c r="X111" s="115">
        <v>50.5</v>
      </c>
      <c r="Y111" s="115">
        <v>58.5</v>
      </c>
      <c r="Z111" s="115">
        <v>66.5</v>
      </c>
      <c r="AA111" s="115">
        <v>61.3</v>
      </c>
      <c r="AB111" s="115">
        <v>22</v>
      </c>
      <c r="AC111" s="115">
        <v>7</v>
      </c>
      <c r="AD111" s="115">
        <v>-3.8</v>
      </c>
      <c r="AE111" s="115">
        <v>-21</v>
      </c>
      <c r="AF111" s="115">
        <v>-18</v>
      </c>
      <c r="AG111" s="114">
        <v>240</v>
      </c>
      <c r="AH111" s="47">
        <f t="shared" si="12"/>
        <v>66.5</v>
      </c>
      <c r="AI111" s="48">
        <f t="shared" si="13"/>
        <v>-30.9</v>
      </c>
    </row>
    <row r="112" spans="1:37" x14ac:dyDescent="0.25">
      <c r="A112" s="103" t="s">
        <v>116</v>
      </c>
      <c r="B112" s="115">
        <v>1.7</v>
      </c>
      <c r="C112" s="115">
        <v>-1</v>
      </c>
      <c r="D112" s="115">
        <v>1.7</v>
      </c>
      <c r="E112" s="115">
        <v>4.0999999999999996</v>
      </c>
      <c r="F112" s="115">
        <v>7.1</v>
      </c>
      <c r="G112" s="115">
        <v>8</v>
      </c>
      <c r="H112" s="115">
        <v>12.3</v>
      </c>
      <c r="I112" s="115">
        <v>15.2</v>
      </c>
      <c r="J112" s="115">
        <v>18</v>
      </c>
      <c r="K112" s="115">
        <v>20.2</v>
      </c>
      <c r="L112" s="115">
        <v>24</v>
      </c>
      <c r="M112" s="115">
        <v>21</v>
      </c>
      <c r="N112" s="115">
        <v>36.1</v>
      </c>
      <c r="O112" s="115">
        <v>34.5</v>
      </c>
      <c r="P112" s="115">
        <v>36.799999999999997</v>
      </c>
      <c r="Q112" s="115">
        <v>39.6</v>
      </c>
      <c r="R112" s="115">
        <v>37.6</v>
      </c>
      <c r="S112" s="115">
        <v>36.700000000000003</v>
      </c>
      <c r="T112" s="115">
        <v>37.299999999999997</v>
      </c>
      <c r="U112" s="115">
        <v>38.299999999999997</v>
      </c>
      <c r="V112" s="115">
        <v>32.4</v>
      </c>
      <c r="W112" s="115">
        <v>23.6</v>
      </c>
      <c r="X112" s="115">
        <v>23.9</v>
      </c>
      <c r="Y112" s="115">
        <v>35.5</v>
      </c>
      <c r="Z112" s="115">
        <v>28.1</v>
      </c>
      <c r="AA112" s="115">
        <v>27.5</v>
      </c>
      <c r="AB112" s="115">
        <v>23</v>
      </c>
      <c r="AC112" s="115">
        <v>21.4</v>
      </c>
      <c r="AD112" s="115">
        <v>19</v>
      </c>
      <c r="AE112" s="115">
        <v>15</v>
      </c>
      <c r="AF112" s="115">
        <v>13</v>
      </c>
      <c r="AG112" s="114">
        <v>60</v>
      </c>
      <c r="AH112" s="47">
        <f t="shared" si="12"/>
        <v>39.6</v>
      </c>
      <c r="AI112" s="48">
        <f t="shared" si="13"/>
        <v>-1</v>
      </c>
    </row>
    <row r="113" spans="1:37" x14ac:dyDescent="0.25">
      <c r="A113" s="116" t="s">
        <v>117</v>
      </c>
      <c r="B113" s="117">
        <v>44.4</v>
      </c>
      <c r="C113" s="117">
        <v>23.4</v>
      </c>
      <c r="D113" s="117">
        <v>26.8</v>
      </c>
      <c r="E113" s="117">
        <v>29.6</v>
      </c>
      <c r="F113" s="117">
        <v>39.9</v>
      </c>
      <c r="G113" s="117">
        <v>56</v>
      </c>
      <c r="H113" s="117">
        <v>69.3</v>
      </c>
      <c r="I113" s="117">
        <v>85.8</v>
      </c>
      <c r="J113" s="117">
        <v>97</v>
      </c>
      <c r="K113" s="117">
        <v>94.6</v>
      </c>
      <c r="L113" s="117">
        <v>111</v>
      </c>
      <c r="M113" s="117">
        <v>118.2</v>
      </c>
      <c r="N113" s="117">
        <v>98</v>
      </c>
      <c r="O113" s="117">
        <v>107.5</v>
      </c>
      <c r="P113" s="117">
        <v>54.3</v>
      </c>
      <c r="Q113" s="117">
        <v>68.099999999999994</v>
      </c>
      <c r="R113" s="117">
        <v>38.9</v>
      </c>
      <c r="S113" s="117">
        <v>40.1</v>
      </c>
      <c r="T113" s="117">
        <v>50.1</v>
      </c>
      <c r="U113" s="117">
        <v>55.3</v>
      </c>
      <c r="V113" s="117">
        <v>82</v>
      </c>
      <c r="W113" s="117">
        <v>95.3</v>
      </c>
      <c r="X113" s="117">
        <v>112.7</v>
      </c>
      <c r="Y113" s="117">
        <v>115.5</v>
      </c>
      <c r="Z113" s="117">
        <v>103.7</v>
      </c>
      <c r="AA113" s="117">
        <v>96.8</v>
      </c>
      <c r="AB113" s="117">
        <v>97</v>
      </c>
      <c r="AC113" s="117">
        <v>76.400000000000006</v>
      </c>
      <c r="AD113" s="117">
        <v>64.599999999999994</v>
      </c>
      <c r="AE113" s="117">
        <v>45</v>
      </c>
      <c r="AF113" s="117">
        <v>49</v>
      </c>
      <c r="AG113" s="118">
        <v>120</v>
      </c>
      <c r="AH113" s="47">
        <f t="shared" si="12"/>
        <v>118.2</v>
      </c>
      <c r="AI113" s="48">
        <f t="shared" si="13"/>
        <v>23.4</v>
      </c>
    </row>
    <row r="114" spans="1:37" x14ac:dyDescent="0.25">
      <c r="A114" s="116" t="s">
        <v>118</v>
      </c>
      <c r="B114" s="117">
        <v>36.5</v>
      </c>
      <c r="C114" s="117">
        <v>19.7</v>
      </c>
      <c r="D114" s="117">
        <v>22.7</v>
      </c>
      <c r="E114" s="117">
        <v>26</v>
      </c>
      <c r="F114" s="117">
        <v>33.9</v>
      </c>
      <c r="G114" s="117">
        <v>45</v>
      </c>
      <c r="H114" s="117">
        <v>56.4</v>
      </c>
      <c r="I114" s="117">
        <v>68.2</v>
      </c>
      <c r="J114" s="117">
        <v>75.099999999999994</v>
      </c>
      <c r="K114" s="117">
        <v>70.099999999999994</v>
      </c>
      <c r="L114" s="117">
        <v>85</v>
      </c>
      <c r="M114" s="117">
        <v>84.6</v>
      </c>
      <c r="N114" s="117">
        <v>52</v>
      </c>
      <c r="O114" s="117">
        <v>23.5</v>
      </c>
      <c r="P114" s="117">
        <v>30.4</v>
      </c>
      <c r="Q114" s="117">
        <v>42.9</v>
      </c>
      <c r="R114" s="117">
        <v>19.5</v>
      </c>
      <c r="S114" s="117">
        <v>20.100000000000001</v>
      </c>
      <c r="T114" s="117">
        <v>27.1</v>
      </c>
      <c r="U114" s="117">
        <v>29.9</v>
      </c>
      <c r="V114" s="117">
        <v>59</v>
      </c>
      <c r="W114" s="117">
        <v>73.400000000000006</v>
      </c>
      <c r="X114" s="117">
        <v>83.8</v>
      </c>
      <c r="Y114" s="117">
        <v>85.6</v>
      </c>
      <c r="Z114" s="117">
        <v>94.1</v>
      </c>
      <c r="AA114" s="117">
        <v>88.5</v>
      </c>
      <c r="AB114" s="117">
        <v>84</v>
      </c>
      <c r="AC114" s="117">
        <v>60</v>
      </c>
      <c r="AD114" s="117">
        <v>55</v>
      </c>
      <c r="AE114" s="117">
        <v>43</v>
      </c>
      <c r="AF114" s="117">
        <v>49</v>
      </c>
      <c r="AG114" s="118"/>
      <c r="AH114" s="47">
        <f t="shared" si="12"/>
        <v>94.1</v>
      </c>
      <c r="AI114" s="48">
        <f t="shared" si="13"/>
        <v>19.5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>
        <v>18.399999999999999</v>
      </c>
      <c r="G115" s="117">
        <v>18</v>
      </c>
      <c r="H115" s="117"/>
      <c r="I115" s="117"/>
      <c r="J115" s="117"/>
      <c r="K115" s="117"/>
      <c r="L115" s="117">
        <v>15.6</v>
      </c>
      <c r="M115" s="117">
        <v>41.7</v>
      </c>
      <c r="N115" s="117">
        <v>41.4</v>
      </c>
      <c r="O115" s="117"/>
      <c r="P115" s="117">
        <v>34.6</v>
      </c>
      <c r="Q115" s="117"/>
      <c r="R115" s="117"/>
      <c r="S115" s="117">
        <v>10.9</v>
      </c>
      <c r="T115" s="117"/>
      <c r="U115" s="117"/>
      <c r="V115" s="117">
        <v>19.2</v>
      </c>
      <c r="W115" s="117">
        <v>19.7</v>
      </c>
      <c r="X115" s="117"/>
      <c r="Y115" s="117">
        <v>10.6</v>
      </c>
      <c r="Z115" s="117"/>
      <c r="AA115" s="117"/>
      <c r="AB115" s="117">
        <v>11</v>
      </c>
      <c r="AC115" s="117"/>
      <c r="AD115" s="117">
        <v>-2.2000000000000002</v>
      </c>
      <c r="AE115" s="117">
        <v>3</v>
      </c>
      <c r="AF115" s="117"/>
      <c r="AG115" s="119"/>
      <c r="AH115" s="47">
        <f t="shared" si="12"/>
        <v>41.7</v>
      </c>
      <c r="AI115" s="48">
        <f t="shared" si="13"/>
        <v>-2.2000000000000002</v>
      </c>
    </row>
    <row r="116" spans="1:37" x14ac:dyDescent="0.25">
      <c r="A116" s="120" t="s">
        <v>120</v>
      </c>
      <c r="B116" s="106">
        <v>0</v>
      </c>
      <c r="C116" s="106">
        <v>13</v>
      </c>
      <c r="D116" s="106">
        <v>12.5</v>
      </c>
      <c r="E116" s="106">
        <v>19.399999999999999</v>
      </c>
      <c r="F116" s="106">
        <v>19.7</v>
      </c>
      <c r="G116" s="106">
        <v>12</v>
      </c>
      <c r="H116" s="106">
        <v>7.1</v>
      </c>
      <c r="I116" s="106">
        <v>7.6</v>
      </c>
      <c r="J116" s="106">
        <v>-21.2</v>
      </c>
      <c r="K116" s="106">
        <v>-29</v>
      </c>
      <c r="L116" s="106">
        <v>-37.9</v>
      </c>
      <c r="M116" s="106">
        <v>-41.9</v>
      </c>
      <c r="N116" s="106">
        <v>-29</v>
      </c>
      <c r="O116" s="106">
        <v>23.3</v>
      </c>
      <c r="P116" s="106">
        <v>-13.3</v>
      </c>
      <c r="Q116" s="106">
        <v>-7.3</v>
      </c>
      <c r="R116" s="106">
        <v>-3.1</v>
      </c>
      <c r="S116" s="106">
        <v>6</v>
      </c>
      <c r="T116" s="106">
        <v>-1.6</v>
      </c>
      <c r="U116" s="106">
        <v>-19.3</v>
      </c>
      <c r="V116" s="106">
        <v>-20.2</v>
      </c>
      <c r="W116" s="106">
        <v>-19.7</v>
      </c>
      <c r="X116" s="106">
        <v>-49.6</v>
      </c>
      <c r="Y116" s="106">
        <v>-65.099999999999994</v>
      </c>
      <c r="Z116" s="106">
        <v>-46.2</v>
      </c>
      <c r="AA116" s="106">
        <v>-41.8</v>
      </c>
      <c r="AB116" s="106">
        <v>-31</v>
      </c>
      <c r="AC116" s="106">
        <v>-28</v>
      </c>
      <c r="AD116" s="106">
        <v>-19.399999999999999</v>
      </c>
      <c r="AE116" s="106">
        <v>-5</v>
      </c>
      <c r="AF116" s="106">
        <v>7.5</v>
      </c>
      <c r="AG116" s="119"/>
      <c r="AH116" s="47">
        <f t="shared" si="12"/>
        <v>23.3</v>
      </c>
      <c r="AI116" s="48">
        <f t="shared" si="13"/>
        <v>-65.099999999999994</v>
      </c>
    </row>
    <row r="117" spans="1:37" ht="15.75" thickBot="1" x14ac:dyDescent="0.3">
      <c r="A117" s="120" t="s">
        <v>121</v>
      </c>
      <c r="B117" s="106">
        <v>65</v>
      </c>
      <c r="C117" s="106">
        <v>50.6</v>
      </c>
      <c r="D117" s="106">
        <v>53.7</v>
      </c>
      <c r="E117" s="106">
        <v>50.1</v>
      </c>
      <c r="F117" s="106">
        <v>47.3</v>
      </c>
      <c r="G117" s="106">
        <v>46</v>
      </c>
      <c r="H117" s="106">
        <v>47.1</v>
      </c>
      <c r="I117" s="106">
        <v>39.6</v>
      </c>
      <c r="J117" s="106">
        <v>37.5</v>
      </c>
      <c r="K117" s="106">
        <v>43.2</v>
      </c>
      <c r="L117" s="106">
        <v>49.4</v>
      </c>
      <c r="M117" s="106">
        <v>51.6</v>
      </c>
      <c r="N117" s="106">
        <v>45.3</v>
      </c>
      <c r="O117" s="106">
        <v>38.700000000000003</v>
      </c>
      <c r="P117" s="106">
        <v>18.8</v>
      </c>
      <c r="Q117" s="106">
        <v>8.6</v>
      </c>
      <c r="R117" s="106">
        <v>12.3</v>
      </c>
      <c r="S117" s="106">
        <v>9.8000000000000007</v>
      </c>
      <c r="T117" s="106">
        <v>2.6</v>
      </c>
      <c r="U117" s="106">
        <v>22.2</v>
      </c>
      <c r="V117" s="106">
        <v>39</v>
      </c>
      <c r="W117" s="106">
        <v>37.1</v>
      </c>
      <c r="X117" s="106">
        <v>50.5</v>
      </c>
      <c r="Y117" s="106">
        <v>69</v>
      </c>
      <c r="Z117" s="106">
        <v>59.2</v>
      </c>
      <c r="AA117" s="106">
        <v>53.6</v>
      </c>
      <c r="AB117" s="106">
        <v>50</v>
      </c>
      <c r="AC117" s="106">
        <v>49</v>
      </c>
      <c r="AD117" s="106">
        <v>43</v>
      </c>
      <c r="AE117" s="106">
        <v>36</v>
      </c>
      <c r="AF117" s="106">
        <v>25</v>
      </c>
      <c r="AG117" s="119"/>
      <c r="AH117" s="47">
        <f t="shared" si="12"/>
        <v>69</v>
      </c>
      <c r="AI117" s="48">
        <f t="shared" si="13"/>
        <v>2.6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7">SUM(B119:B223)</f>
        <v>0</v>
      </c>
      <c r="C224" s="136">
        <f t="shared" si="27"/>
        <v>0</v>
      </c>
      <c r="D224" s="136">
        <f t="shared" si="27"/>
        <v>0</v>
      </c>
      <c r="E224" s="136">
        <f t="shared" si="27"/>
        <v>0</v>
      </c>
      <c r="F224" s="136">
        <f t="shared" si="27"/>
        <v>0</v>
      </c>
      <c r="G224" s="136">
        <f t="shared" si="27"/>
        <v>0</v>
      </c>
      <c r="H224" s="136">
        <f t="shared" si="27"/>
        <v>0</v>
      </c>
      <c r="I224" s="136">
        <f t="shared" si="27"/>
        <v>0</v>
      </c>
      <c r="J224" s="136">
        <f t="shared" si="27"/>
        <v>0</v>
      </c>
      <c r="K224" s="136">
        <f t="shared" si="27"/>
        <v>0</v>
      </c>
      <c r="L224" s="136">
        <f t="shared" si="27"/>
        <v>0</v>
      </c>
      <c r="M224" s="136">
        <f t="shared" si="27"/>
        <v>0</v>
      </c>
      <c r="N224" s="136">
        <f t="shared" si="27"/>
        <v>0</v>
      </c>
      <c r="O224" s="136">
        <f t="shared" si="27"/>
        <v>0</v>
      </c>
      <c r="P224" s="136">
        <f t="shared" si="27"/>
        <v>0</v>
      </c>
      <c r="Q224" s="136">
        <f t="shared" si="27"/>
        <v>0</v>
      </c>
      <c r="R224" s="136">
        <f t="shared" si="27"/>
        <v>0</v>
      </c>
      <c r="S224" s="136">
        <f t="shared" si="27"/>
        <v>0</v>
      </c>
      <c r="T224" s="136">
        <f t="shared" si="27"/>
        <v>0</v>
      </c>
      <c r="U224" s="136">
        <f t="shared" si="27"/>
        <v>0</v>
      </c>
      <c r="V224" s="136">
        <f t="shared" si="27"/>
        <v>0</v>
      </c>
      <c r="W224" s="136">
        <f t="shared" si="27"/>
        <v>0</v>
      </c>
      <c r="X224" s="136">
        <f t="shared" si="27"/>
        <v>0</v>
      </c>
      <c r="Y224" s="136">
        <f t="shared" si="27"/>
        <v>0</v>
      </c>
      <c r="Z224" s="136">
        <f t="shared" si="27"/>
        <v>0</v>
      </c>
      <c r="AA224" s="136">
        <f t="shared" si="27"/>
        <v>0</v>
      </c>
      <c r="AB224" s="136">
        <f t="shared" si="27"/>
        <v>0</v>
      </c>
      <c r="AC224" s="136">
        <f t="shared" si="27"/>
        <v>0</v>
      </c>
      <c r="AD224" s="136">
        <f t="shared" si="27"/>
        <v>0</v>
      </c>
      <c r="AE224" s="136">
        <f t="shared" si="27"/>
        <v>0</v>
      </c>
      <c r="AF224" s="137">
        <f t="shared" si="27"/>
        <v>0</v>
      </c>
      <c r="AG224" s="138">
        <f t="shared" si="2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8">AF226</f>
        <v>0</v>
      </c>
      <c r="C226" s="140">
        <v>0.3</v>
      </c>
      <c r="D226" s="140">
        <f t="shared" ref="D226:P231" si="29">C226</f>
        <v>0.3</v>
      </c>
      <c r="E226" s="140">
        <f t="shared" si="29"/>
        <v>0.3</v>
      </c>
      <c r="F226" s="140">
        <f t="shared" si="29"/>
        <v>0.3</v>
      </c>
      <c r="G226" s="140">
        <f t="shared" si="29"/>
        <v>0.3</v>
      </c>
      <c r="H226" s="140">
        <f t="shared" si="29"/>
        <v>0.3</v>
      </c>
      <c r="I226" s="140">
        <f t="shared" si="29"/>
        <v>0.3</v>
      </c>
      <c r="J226" s="140">
        <f t="shared" si="29"/>
        <v>0.3</v>
      </c>
      <c r="K226" s="140">
        <f t="shared" si="29"/>
        <v>0.3</v>
      </c>
      <c r="L226" s="140">
        <f t="shared" si="29"/>
        <v>0.3</v>
      </c>
      <c r="M226" s="140">
        <f t="shared" si="29"/>
        <v>0.3</v>
      </c>
      <c r="N226" s="140">
        <f t="shared" si="29"/>
        <v>0.3</v>
      </c>
      <c r="O226" s="140">
        <f t="shared" si="29"/>
        <v>0.3</v>
      </c>
      <c r="P226" s="140">
        <f t="shared" si="2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8"/>
        <v>0</v>
      </c>
      <c r="C227" s="128">
        <v>0.4</v>
      </c>
      <c r="D227" s="128">
        <f t="shared" si="29"/>
        <v>0.4</v>
      </c>
      <c r="E227" s="128">
        <f t="shared" si="29"/>
        <v>0.4</v>
      </c>
      <c r="F227" s="128">
        <f t="shared" si="29"/>
        <v>0.4</v>
      </c>
      <c r="G227" s="128">
        <f t="shared" si="29"/>
        <v>0.4</v>
      </c>
      <c r="H227" s="128">
        <f t="shared" si="29"/>
        <v>0.4</v>
      </c>
      <c r="I227" s="128">
        <f t="shared" si="29"/>
        <v>0.4</v>
      </c>
      <c r="J227" s="128">
        <f t="shared" si="29"/>
        <v>0.4</v>
      </c>
      <c r="K227" s="128">
        <f t="shared" si="29"/>
        <v>0.4</v>
      </c>
      <c r="L227" s="128">
        <f t="shared" si="29"/>
        <v>0.4</v>
      </c>
      <c r="M227" s="128">
        <f t="shared" si="29"/>
        <v>0.4</v>
      </c>
      <c r="N227" s="128">
        <f t="shared" si="29"/>
        <v>0.4</v>
      </c>
      <c r="O227" s="128">
        <f t="shared" si="29"/>
        <v>0.4</v>
      </c>
      <c r="P227" s="128">
        <f t="shared" si="2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8"/>
        <v>0</v>
      </c>
      <c r="C228" s="128">
        <v>1.5</v>
      </c>
      <c r="D228" s="128">
        <f t="shared" si="29"/>
        <v>1.5</v>
      </c>
      <c r="E228" s="128">
        <f t="shared" si="29"/>
        <v>1.5</v>
      </c>
      <c r="F228" s="128">
        <f t="shared" si="29"/>
        <v>1.5</v>
      </c>
      <c r="G228" s="128">
        <f t="shared" si="29"/>
        <v>1.5</v>
      </c>
      <c r="H228" s="128">
        <f t="shared" si="2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29"/>
        <v>1.5</v>
      </c>
      <c r="K228" s="128">
        <f t="shared" ca="1" si="29"/>
        <v>1.5</v>
      </c>
      <c r="L228" s="128">
        <f t="shared" ca="1" si="29"/>
        <v>1.5</v>
      </c>
      <c r="M228" s="128">
        <f t="shared" ca="1" si="29"/>
        <v>1.5</v>
      </c>
      <c r="N228" s="128">
        <f t="shared" ca="1" si="29"/>
        <v>1.5</v>
      </c>
      <c r="O228" s="128">
        <f t="shared" ca="1" si="29"/>
        <v>1.5</v>
      </c>
      <c r="P228" s="128">
        <f t="shared" ca="1" si="2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8"/>
        <v>0</v>
      </c>
      <c r="C229" s="128">
        <v>0.3</v>
      </c>
      <c r="D229" s="128">
        <f t="shared" si="29"/>
        <v>0.3</v>
      </c>
      <c r="E229" s="128">
        <f t="shared" si="29"/>
        <v>0.3</v>
      </c>
      <c r="F229" s="128">
        <f t="shared" si="29"/>
        <v>0.3</v>
      </c>
      <c r="G229" s="128">
        <f t="shared" si="29"/>
        <v>0.3</v>
      </c>
      <c r="H229" s="128">
        <f t="shared" si="29"/>
        <v>0.3</v>
      </c>
      <c r="I229" s="128">
        <f t="shared" si="29"/>
        <v>0.3</v>
      </c>
      <c r="J229" s="128">
        <f t="shared" si="29"/>
        <v>0.3</v>
      </c>
      <c r="K229" s="128">
        <f t="shared" si="29"/>
        <v>0.3</v>
      </c>
      <c r="L229" s="128">
        <f t="shared" si="29"/>
        <v>0.3</v>
      </c>
      <c r="M229" s="128">
        <f t="shared" si="29"/>
        <v>0.3</v>
      </c>
      <c r="N229" s="128">
        <f t="shared" si="29"/>
        <v>0.3</v>
      </c>
      <c r="O229" s="128">
        <f t="shared" si="29"/>
        <v>0.3</v>
      </c>
      <c r="P229" s="128">
        <f t="shared" si="2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8"/>
        <v>0</v>
      </c>
      <c r="C230" s="128">
        <v>0.4</v>
      </c>
      <c r="D230" s="128">
        <f t="shared" si="29"/>
        <v>0.4</v>
      </c>
      <c r="E230" s="128">
        <f t="shared" si="29"/>
        <v>0.4</v>
      </c>
      <c r="F230" s="128">
        <f t="shared" si="29"/>
        <v>0.4</v>
      </c>
      <c r="G230" s="128">
        <f t="shared" si="29"/>
        <v>0.4</v>
      </c>
      <c r="H230" s="128">
        <f t="shared" si="29"/>
        <v>0.4</v>
      </c>
      <c r="I230" s="128">
        <f t="shared" si="29"/>
        <v>0.4</v>
      </c>
      <c r="J230" s="128">
        <f t="shared" si="29"/>
        <v>0.4</v>
      </c>
      <c r="K230" s="128">
        <f t="shared" si="29"/>
        <v>0.4</v>
      </c>
      <c r="L230" s="128">
        <f t="shared" si="29"/>
        <v>0.4</v>
      </c>
      <c r="M230" s="128">
        <f t="shared" si="29"/>
        <v>0.4</v>
      </c>
      <c r="N230" s="128">
        <f t="shared" si="29"/>
        <v>0.4</v>
      </c>
      <c r="O230" s="128">
        <f t="shared" si="29"/>
        <v>0.4</v>
      </c>
      <c r="P230" s="128">
        <f t="shared" si="2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8"/>
        <v>0</v>
      </c>
      <c r="C231" s="132">
        <v>0.64</v>
      </c>
      <c r="D231" s="132">
        <f t="shared" si="29"/>
        <v>0.64</v>
      </c>
      <c r="E231" s="132">
        <f t="shared" si="29"/>
        <v>0.64</v>
      </c>
      <c r="F231" s="132">
        <f t="shared" si="29"/>
        <v>0.64</v>
      </c>
      <c r="G231" s="132">
        <f t="shared" si="29"/>
        <v>0.64</v>
      </c>
      <c r="H231" s="132">
        <f t="shared" si="29"/>
        <v>0.64</v>
      </c>
      <c r="I231" s="132">
        <f t="shared" si="29"/>
        <v>0.64</v>
      </c>
      <c r="J231" s="132">
        <f t="shared" si="29"/>
        <v>0.64</v>
      </c>
      <c r="K231" s="132">
        <f t="shared" si="29"/>
        <v>0.64</v>
      </c>
      <c r="L231" s="132">
        <f t="shared" si="29"/>
        <v>0.64</v>
      </c>
      <c r="M231" s="132">
        <f t="shared" si="29"/>
        <v>0.64</v>
      </c>
      <c r="N231" s="132">
        <f t="shared" si="29"/>
        <v>0.64</v>
      </c>
      <c r="O231" s="132">
        <f t="shared" si="29"/>
        <v>0.64</v>
      </c>
      <c r="P231" s="132">
        <f t="shared" si="2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0">SUM(B226:B231)</f>
        <v>0</v>
      </c>
      <c r="C232" s="136">
        <f t="shared" si="30"/>
        <v>3.54</v>
      </c>
      <c r="D232" s="136">
        <f t="shared" si="30"/>
        <v>3.54</v>
      </c>
      <c r="E232" s="136">
        <f t="shared" si="30"/>
        <v>3.54</v>
      </c>
      <c r="F232" s="136">
        <f t="shared" si="30"/>
        <v>3.54</v>
      </c>
      <c r="G232" s="136">
        <f t="shared" si="30"/>
        <v>3.54</v>
      </c>
      <c r="H232" s="136">
        <f t="shared" si="30"/>
        <v>3.54</v>
      </c>
      <c r="I232" s="136">
        <f t="shared" ca="1" si="30"/>
        <v>3.54</v>
      </c>
      <c r="J232" s="136">
        <f t="shared" ca="1" si="30"/>
        <v>3.54</v>
      </c>
      <c r="K232" s="136">
        <f t="shared" ca="1" si="30"/>
        <v>3.54</v>
      </c>
      <c r="L232" s="136">
        <f t="shared" ca="1" si="30"/>
        <v>3.54</v>
      </c>
      <c r="M232" s="136">
        <f t="shared" ca="1" si="30"/>
        <v>3.54</v>
      </c>
      <c r="N232" s="136">
        <f t="shared" ca="1" si="30"/>
        <v>3.54</v>
      </c>
      <c r="O232" s="136">
        <f t="shared" ca="1" si="30"/>
        <v>3.54</v>
      </c>
      <c r="P232" s="136">
        <f t="shared" ca="1" si="30"/>
        <v>3.54</v>
      </c>
      <c r="Q232" s="136">
        <f t="shared" si="30"/>
        <v>0</v>
      </c>
      <c r="R232" s="136">
        <f t="shared" si="30"/>
        <v>0</v>
      </c>
      <c r="S232" s="136">
        <f t="shared" si="30"/>
        <v>0</v>
      </c>
      <c r="T232" s="136">
        <f t="shared" si="30"/>
        <v>0</v>
      </c>
      <c r="U232" s="136">
        <f t="shared" si="30"/>
        <v>0</v>
      </c>
      <c r="V232" s="136">
        <f t="shared" si="30"/>
        <v>0</v>
      </c>
      <c r="W232" s="136">
        <f t="shared" si="30"/>
        <v>0</v>
      </c>
      <c r="X232" s="136">
        <f t="shared" si="30"/>
        <v>0</v>
      </c>
      <c r="Y232" s="136">
        <f t="shared" si="30"/>
        <v>0</v>
      </c>
      <c r="Z232" s="136">
        <f t="shared" si="30"/>
        <v>0</v>
      </c>
      <c r="AA232" s="136">
        <f t="shared" si="30"/>
        <v>0</v>
      </c>
      <c r="AB232" s="136">
        <f t="shared" si="30"/>
        <v>0</v>
      </c>
      <c r="AC232" s="136">
        <f t="shared" si="30"/>
        <v>0</v>
      </c>
      <c r="AD232" s="136">
        <f t="shared" si="30"/>
        <v>0</v>
      </c>
      <c r="AE232" s="136">
        <f t="shared" si="30"/>
        <v>0</v>
      </c>
      <c r="AF232" s="136">
        <f t="shared" si="30"/>
        <v>0</v>
      </c>
      <c r="AG232" s="145">
        <f t="shared" si="3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1120.6399999999999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23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2079/11/23)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2079/11/23)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1">B89</f>
        <v>941.14</v>
      </c>
      <c r="U246" s="170">
        <f t="shared" si="31"/>
        <v>895.54</v>
      </c>
      <c r="V246" s="170">
        <f t="shared" si="31"/>
        <v>866.6400000000001</v>
      </c>
      <c r="W246" s="170">
        <f t="shared" si="31"/>
        <v>858.04</v>
      </c>
      <c r="X246" s="170">
        <f t="shared" si="31"/>
        <v>846.84</v>
      </c>
      <c r="Y246" s="170">
        <f t="shared" si="31"/>
        <v>866.44</v>
      </c>
      <c r="Z246" s="170">
        <f t="shared" si="31"/>
        <v>904.34000000000015</v>
      </c>
      <c r="AA246" s="170">
        <f t="shared" si="31"/>
        <v>965.63999999999987</v>
      </c>
      <c r="AB246" s="170">
        <f t="shared" si="31"/>
        <v>1012.9399999999999</v>
      </c>
      <c r="AC246" s="170">
        <f t="shared" si="31"/>
        <v>1045.6400000000001</v>
      </c>
      <c r="AD246" s="170">
        <f t="shared" si="31"/>
        <v>1120.6399999999999</v>
      </c>
      <c r="AE246" s="170">
        <f t="shared" si="31"/>
        <v>1017.1399999999999</v>
      </c>
      <c r="AF246" s="170">
        <f t="shared" si="31"/>
        <v>964.04</v>
      </c>
      <c r="AG246" s="170">
        <f t="shared" si="31"/>
        <v>1010.2399999999999</v>
      </c>
      <c r="AH246" s="170">
        <f t="shared" si="31"/>
        <v>966.93999999999983</v>
      </c>
      <c r="AI246" s="170">
        <f t="shared" si="31"/>
        <v>941.63999999999987</v>
      </c>
      <c r="AJ246" s="170">
        <f t="shared" si="31"/>
        <v>897.93999999999994</v>
      </c>
      <c r="AK246" s="170">
        <f t="shared" si="31"/>
        <v>877.54</v>
      </c>
      <c r="AL246" s="170">
        <f t="shared" si="31"/>
        <v>876.64</v>
      </c>
      <c r="AM246" s="170">
        <f t="shared" si="31"/>
        <v>925.74</v>
      </c>
      <c r="AN246" s="170">
        <f t="shared" si="31"/>
        <v>1023.4399999999999</v>
      </c>
      <c r="AO246" s="170">
        <f t="shared" si="31"/>
        <v>1006.84</v>
      </c>
      <c r="AP246" s="170">
        <f t="shared" si="31"/>
        <v>1080.3399999999999</v>
      </c>
      <c r="AQ246" s="170">
        <f t="shared" si="31"/>
        <v>1235.8400000000001</v>
      </c>
      <c r="AR246" s="170">
        <f t="shared" si="31"/>
        <v>1253.74</v>
      </c>
      <c r="AS246" s="170">
        <f t="shared" si="31"/>
        <v>1166.94</v>
      </c>
      <c r="AT246" s="170">
        <f t="shared" si="31"/>
        <v>1075.94</v>
      </c>
      <c r="AU246" s="170">
        <f t="shared" si="31"/>
        <v>1041.74</v>
      </c>
      <c r="AV246" s="170">
        <f t="shared" si="31"/>
        <v>1007.74</v>
      </c>
      <c r="AW246" s="170">
        <f t="shared" si="31"/>
        <v>912.74</v>
      </c>
      <c r="AX246" s="170">
        <f t="shared" si="31"/>
        <v>794.74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2">C231</f>
        <v>0.64</v>
      </c>
      <c r="C267" s="173">
        <f t="shared" si="32"/>
        <v>0.64</v>
      </c>
      <c r="D267" s="173">
        <f t="shared" si="32"/>
        <v>0.64</v>
      </c>
      <c r="E267" s="173">
        <f t="shared" si="32"/>
        <v>0.64</v>
      </c>
      <c r="F267" s="173">
        <f t="shared" si="32"/>
        <v>0.64</v>
      </c>
      <c r="G267" s="173">
        <f t="shared" si="32"/>
        <v>0.64</v>
      </c>
      <c r="H267" s="173">
        <f t="shared" si="32"/>
        <v>0.64</v>
      </c>
      <c r="I267" s="173">
        <f t="shared" si="32"/>
        <v>0.64</v>
      </c>
      <c r="J267" s="173">
        <f t="shared" si="32"/>
        <v>0.64</v>
      </c>
      <c r="K267" s="173">
        <f t="shared" si="32"/>
        <v>0.64</v>
      </c>
      <c r="L267" s="173">
        <f t="shared" si="32"/>
        <v>0.64</v>
      </c>
      <c r="M267" s="173">
        <f t="shared" si="32"/>
        <v>0.64</v>
      </c>
      <c r="N267" s="173">
        <f t="shared" si="32"/>
        <v>0.64</v>
      </c>
      <c r="O267" s="173">
        <f t="shared" si="32"/>
        <v>0.64</v>
      </c>
      <c r="P267" s="173">
        <f t="shared" si="32"/>
        <v>0</v>
      </c>
      <c r="Q267" s="173">
        <f t="shared" si="32"/>
        <v>0</v>
      </c>
      <c r="R267" s="173">
        <f t="shared" si="32"/>
        <v>0</v>
      </c>
      <c r="S267" s="173">
        <f t="shared" si="32"/>
        <v>0</v>
      </c>
      <c r="T267" s="173">
        <f t="shared" si="32"/>
        <v>0</v>
      </c>
      <c r="U267" s="173">
        <f t="shared" si="32"/>
        <v>0</v>
      </c>
      <c r="V267" s="173">
        <f t="shared" si="32"/>
        <v>0</v>
      </c>
      <c r="W267" s="173">
        <f t="shared" si="32"/>
        <v>0</v>
      </c>
      <c r="X267" s="173">
        <f t="shared" si="32"/>
        <v>0</v>
      </c>
      <c r="Y267" s="173">
        <f t="shared" si="32"/>
        <v>0</v>
      </c>
      <c r="Z267" s="173">
        <f t="shared" si="32"/>
        <v>0</v>
      </c>
      <c r="AA267" s="173">
        <f t="shared" si="32"/>
        <v>0</v>
      </c>
      <c r="AB267" s="173">
        <f t="shared" si="32"/>
        <v>0</v>
      </c>
      <c r="AC267" s="173">
        <f t="shared" si="32"/>
        <v>0</v>
      </c>
      <c r="AD267" s="173">
        <f t="shared" si="32"/>
        <v>0</v>
      </c>
      <c r="AE267" s="173">
        <f t="shared" si="3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3">IF(B235&lt;100,"",B235-520)</f>
        <v/>
      </c>
      <c r="C268" s="174" t="str">
        <f t="shared" si="33"/>
        <v/>
      </c>
      <c r="D268" s="174" t="str">
        <f t="shared" si="33"/>
        <v/>
      </c>
      <c r="E268" s="174" t="str">
        <f t="shared" si="33"/>
        <v/>
      </c>
      <c r="F268" s="174" t="str">
        <f t="shared" si="33"/>
        <v/>
      </c>
      <c r="G268" s="174" t="str">
        <f t="shared" si="33"/>
        <v/>
      </c>
      <c r="H268" s="174" t="str">
        <f t="shared" si="33"/>
        <v/>
      </c>
      <c r="I268" s="174" t="str">
        <f t="shared" si="33"/>
        <v/>
      </c>
      <c r="J268" s="174" t="str">
        <f t="shared" si="33"/>
        <v/>
      </c>
      <c r="K268" s="174" t="str">
        <f t="shared" si="33"/>
        <v/>
      </c>
      <c r="L268" s="174" t="str">
        <f t="shared" si="33"/>
        <v/>
      </c>
      <c r="M268" s="174" t="str">
        <f t="shared" si="33"/>
        <v/>
      </c>
      <c r="N268" s="174" t="str">
        <f t="shared" si="33"/>
        <v/>
      </c>
      <c r="O268" s="174" t="str">
        <f t="shared" si="33"/>
        <v/>
      </c>
      <c r="P268" s="174" t="str">
        <f t="shared" si="33"/>
        <v/>
      </c>
      <c r="Q268" s="174" t="str">
        <f t="shared" si="33"/>
        <v/>
      </c>
      <c r="R268" s="174" t="str">
        <f t="shared" si="33"/>
        <v/>
      </c>
      <c r="S268" s="174" t="str">
        <f t="shared" si="33"/>
        <v/>
      </c>
      <c r="T268" s="174" t="str">
        <f t="shared" si="33"/>
        <v/>
      </c>
      <c r="U268" s="174" t="str">
        <f t="shared" si="33"/>
        <v/>
      </c>
      <c r="V268" s="174" t="str">
        <f t="shared" si="33"/>
        <v/>
      </c>
      <c r="W268" s="174" t="str">
        <f t="shared" si="33"/>
        <v/>
      </c>
      <c r="X268" s="174" t="str">
        <f t="shared" si="33"/>
        <v/>
      </c>
      <c r="Y268" s="174" t="str">
        <f t="shared" si="33"/>
        <v/>
      </c>
      <c r="Z268" s="174" t="str">
        <f t="shared" si="33"/>
        <v/>
      </c>
      <c r="AA268" s="174" t="str">
        <f t="shared" si="33"/>
        <v/>
      </c>
      <c r="AB268" s="174" t="str">
        <f t="shared" si="33"/>
        <v/>
      </c>
      <c r="AC268" s="174" t="str">
        <f t="shared" si="33"/>
        <v/>
      </c>
      <c r="AD268" s="174" t="str">
        <f t="shared" si="33"/>
        <v/>
      </c>
      <c r="AE268" s="174" t="str">
        <f t="shared" si="33"/>
        <v/>
      </c>
      <c r="AF268" s="174" t="str">
        <f t="shared" si="3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4">IF(B236&lt;100,"",B236-620)</f>
        <v/>
      </c>
      <c r="C269" s="174" t="str">
        <f t="shared" si="34"/>
        <v/>
      </c>
      <c r="D269" s="174" t="str">
        <f t="shared" si="34"/>
        <v/>
      </c>
      <c r="E269" s="174" t="str">
        <f t="shared" si="34"/>
        <v/>
      </c>
      <c r="F269" s="174" t="str">
        <f t="shared" si="34"/>
        <v/>
      </c>
      <c r="G269" s="174" t="str">
        <f t="shared" si="34"/>
        <v/>
      </c>
      <c r="H269" s="174" t="str">
        <f t="shared" si="34"/>
        <v/>
      </c>
      <c r="I269" s="174" t="str">
        <f t="shared" si="34"/>
        <v/>
      </c>
      <c r="J269" s="174" t="str">
        <f t="shared" si="34"/>
        <v/>
      </c>
      <c r="K269" s="174" t="str">
        <f t="shared" si="34"/>
        <v/>
      </c>
      <c r="L269" s="174" t="str">
        <f t="shared" si="34"/>
        <v/>
      </c>
      <c r="M269" s="174" t="str">
        <f t="shared" si="34"/>
        <v/>
      </c>
      <c r="N269" s="174" t="str">
        <f t="shared" si="34"/>
        <v/>
      </c>
      <c r="O269" s="174" t="str">
        <f t="shared" si="34"/>
        <v/>
      </c>
      <c r="P269" s="174" t="str">
        <f t="shared" si="34"/>
        <v/>
      </c>
      <c r="Q269" s="174" t="str">
        <f t="shared" si="34"/>
        <v/>
      </c>
      <c r="R269" s="174" t="str">
        <f t="shared" si="34"/>
        <v/>
      </c>
      <c r="S269" s="174" t="str">
        <f t="shared" si="34"/>
        <v/>
      </c>
      <c r="T269" s="174" t="str">
        <f t="shared" si="34"/>
        <v/>
      </c>
      <c r="U269" s="174" t="str">
        <f t="shared" si="34"/>
        <v/>
      </c>
      <c r="V269" s="174" t="str">
        <f t="shared" si="34"/>
        <v/>
      </c>
      <c r="W269" s="174" t="str">
        <f t="shared" si="34"/>
        <v/>
      </c>
      <c r="X269" s="174" t="str">
        <f t="shared" si="34"/>
        <v/>
      </c>
      <c r="Y269" s="174" t="str">
        <f t="shared" si="34"/>
        <v/>
      </c>
      <c r="Z269" s="174" t="str">
        <f t="shared" si="34"/>
        <v/>
      </c>
      <c r="AA269" s="174" t="str">
        <f t="shared" si="34"/>
        <v/>
      </c>
      <c r="AB269" s="174" t="str">
        <f t="shared" si="34"/>
        <v/>
      </c>
      <c r="AC269" s="174" t="str">
        <f t="shared" si="34"/>
        <v/>
      </c>
      <c r="AD269" s="174" t="str">
        <f t="shared" si="34"/>
        <v/>
      </c>
      <c r="AE269" s="174" t="str">
        <f t="shared" si="34"/>
        <v/>
      </c>
      <c r="AF269" s="174" t="str">
        <f t="shared" si="3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5">IF(B237&lt;100,"",B237-330)</f>
        <v/>
      </c>
      <c r="C270" s="174" t="str">
        <f t="shared" si="35"/>
        <v/>
      </c>
      <c r="D270" s="174" t="str">
        <f t="shared" si="35"/>
        <v/>
      </c>
      <c r="E270" s="174" t="str">
        <f t="shared" si="35"/>
        <v/>
      </c>
      <c r="F270" s="174" t="str">
        <f t="shared" si="35"/>
        <v/>
      </c>
      <c r="G270" s="174" t="str">
        <f t="shared" si="35"/>
        <v/>
      </c>
      <c r="H270" s="174" t="str">
        <f t="shared" si="35"/>
        <v/>
      </c>
      <c r="I270" s="174" t="str">
        <f t="shared" si="35"/>
        <v/>
      </c>
      <c r="J270" s="174" t="str">
        <f t="shared" si="35"/>
        <v/>
      </c>
      <c r="K270" s="174" t="str">
        <f t="shared" si="35"/>
        <v/>
      </c>
      <c r="L270" s="174" t="str">
        <f t="shared" si="35"/>
        <v/>
      </c>
      <c r="M270" s="174" t="str">
        <f t="shared" si="35"/>
        <v/>
      </c>
      <c r="N270" s="174" t="str">
        <f t="shared" si="35"/>
        <v/>
      </c>
      <c r="O270" s="174" t="str">
        <f t="shared" si="35"/>
        <v/>
      </c>
      <c r="P270" s="174" t="str">
        <f t="shared" si="35"/>
        <v/>
      </c>
      <c r="Q270" s="174" t="str">
        <f t="shared" si="35"/>
        <v/>
      </c>
      <c r="R270" s="174" t="str">
        <f t="shared" si="35"/>
        <v/>
      </c>
      <c r="S270" s="174" t="str">
        <f t="shared" si="35"/>
        <v/>
      </c>
      <c r="T270" s="174" t="str">
        <f t="shared" si="35"/>
        <v/>
      </c>
      <c r="U270" s="174" t="str">
        <f t="shared" si="35"/>
        <v/>
      </c>
      <c r="V270" s="174" t="str">
        <f t="shared" si="35"/>
        <v/>
      </c>
      <c r="W270" s="174" t="str">
        <f t="shared" si="35"/>
        <v/>
      </c>
      <c r="X270" s="174" t="str">
        <f t="shared" si="35"/>
        <v/>
      </c>
      <c r="Y270" s="174" t="str">
        <f t="shared" si="35"/>
        <v/>
      </c>
      <c r="Z270" s="174" t="str">
        <f t="shared" si="35"/>
        <v/>
      </c>
      <c r="AA270" s="174" t="str">
        <f t="shared" si="35"/>
        <v/>
      </c>
      <c r="AB270" s="174" t="str">
        <f t="shared" si="35"/>
        <v/>
      </c>
      <c r="AC270" s="174" t="str">
        <f t="shared" si="35"/>
        <v/>
      </c>
      <c r="AD270" s="174" t="str">
        <f t="shared" si="35"/>
        <v/>
      </c>
      <c r="AE270" s="174" t="str">
        <f t="shared" si="35"/>
        <v/>
      </c>
      <c r="AF270" s="174" t="str">
        <f t="shared" si="3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6">IF(B238&lt;100,"",B238-1500)</f>
        <v/>
      </c>
      <c r="C271" s="174" t="str">
        <f t="shared" si="36"/>
        <v/>
      </c>
      <c r="D271" s="174" t="str">
        <f t="shared" si="36"/>
        <v/>
      </c>
      <c r="E271" s="174" t="str">
        <f t="shared" si="36"/>
        <v/>
      </c>
      <c r="F271" s="174" t="str">
        <f t="shared" si="36"/>
        <v/>
      </c>
      <c r="G271" s="174" t="str">
        <f t="shared" si="36"/>
        <v/>
      </c>
      <c r="H271" s="174" t="str">
        <f t="shared" si="36"/>
        <v/>
      </c>
      <c r="I271" s="174" t="str">
        <f t="shared" si="36"/>
        <v/>
      </c>
      <c r="J271" s="174" t="str">
        <f t="shared" si="36"/>
        <v/>
      </c>
      <c r="K271" s="174" t="str">
        <f t="shared" si="36"/>
        <v/>
      </c>
      <c r="L271" s="174" t="str">
        <f t="shared" si="36"/>
        <v/>
      </c>
      <c r="M271" s="174" t="str">
        <f t="shared" si="36"/>
        <v/>
      </c>
      <c r="N271" s="174" t="str">
        <f t="shared" si="36"/>
        <v/>
      </c>
      <c r="O271" s="174" t="str">
        <f t="shared" si="36"/>
        <v/>
      </c>
      <c r="P271" s="174" t="str">
        <f t="shared" si="36"/>
        <v/>
      </c>
      <c r="Q271" s="174" t="str">
        <f t="shared" si="36"/>
        <v/>
      </c>
      <c r="R271" s="174" t="str">
        <f t="shared" si="36"/>
        <v/>
      </c>
      <c r="S271" s="174" t="str">
        <f t="shared" si="36"/>
        <v/>
      </c>
      <c r="T271" s="174" t="str">
        <f t="shared" si="36"/>
        <v/>
      </c>
      <c r="U271" s="174" t="str">
        <f t="shared" si="36"/>
        <v/>
      </c>
      <c r="V271" s="174" t="str">
        <f t="shared" si="36"/>
        <v/>
      </c>
      <c r="W271" s="174" t="str">
        <f t="shared" si="36"/>
        <v/>
      </c>
      <c r="X271" s="174" t="str">
        <f t="shared" si="36"/>
        <v/>
      </c>
      <c r="Y271" s="174" t="str">
        <f t="shared" si="36"/>
        <v/>
      </c>
      <c r="Z271" s="174" t="str">
        <f t="shared" si="36"/>
        <v/>
      </c>
      <c r="AA271" s="174" t="str">
        <f t="shared" si="36"/>
        <v/>
      </c>
      <c r="AB271" s="174" t="str">
        <f t="shared" si="36"/>
        <v/>
      </c>
      <c r="AC271" s="174" t="str">
        <f t="shared" si="36"/>
        <v/>
      </c>
      <c r="AD271" s="174" t="str">
        <f t="shared" si="36"/>
        <v/>
      </c>
      <c r="AE271" s="174" t="str">
        <f t="shared" si="36"/>
        <v/>
      </c>
      <c r="AF271" s="174" t="str">
        <f t="shared" si="3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9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352" priority="487">
      <formula>B$9&gt;=20/24</formula>
    </cfRule>
    <cfRule type="expression" dxfId="4351" priority="488">
      <formula>AND(B$9&gt;=14/24,B$9&lt;20/24)</formula>
    </cfRule>
    <cfRule type="expression" dxfId="4350" priority="489">
      <formula>AND(B$9&gt;=8/24,B$9&lt;14/24)</formula>
    </cfRule>
    <cfRule type="expression" dxfId="4349" priority="490">
      <formula>B$9&lt;8/24</formula>
    </cfRule>
  </conditionalFormatting>
  <conditionalFormatting sqref="AL4:AL6">
    <cfRule type="iconSet" priority="486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348" priority="485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347" priority="484">
      <formula>$AH12=0</formula>
    </cfRule>
  </conditionalFormatting>
  <conditionalFormatting sqref="A114">
    <cfRule type="expression" dxfId="4346" priority="483">
      <formula>$AH114=0</formula>
    </cfRule>
  </conditionalFormatting>
  <conditionalFormatting sqref="AL42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345" priority="481">
      <formula>$AH45=0</formula>
    </cfRule>
  </conditionalFormatting>
  <conditionalFormatting sqref="A98">
    <cfRule type="expression" dxfId="4344" priority="480">
      <formula>$AH98=0</formula>
    </cfRule>
  </conditionalFormatting>
  <conditionalFormatting sqref="A18">
    <cfRule type="expression" dxfId="4343" priority="479">
      <formula>$AH18=0</formula>
    </cfRule>
  </conditionalFormatting>
  <conditionalFormatting sqref="A196:A201">
    <cfRule type="expression" dxfId="4342" priority="478">
      <formula>$AH196=0</formula>
    </cfRule>
  </conditionalFormatting>
  <conditionalFormatting sqref="A190:A195">
    <cfRule type="expression" dxfId="4341" priority="477">
      <formula>$AH190=0</formula>
    </cfRule>
  </conditionalFormatting>
  <conditionalFormatting sqref="A58">
    <cfRule type="expression" dxfId="4340" priority="476">
      <formula>$AH58=0</formula>
    </cfRule>
  </conditionalFormatting>
  <conditionalFormatting sqref="A94">
    <cfRule type="expression" dxfId="4339" priority="475">
      <formula>$AH94=0</formula>
    </cfRule>
  </conditionalFormatting>
  <conditionalFormatting sqref="AD99:AF99 E99:X99">
    <cfRule type="expression" dxfId="4338" priority="471">
      <formula>E$9&gt;=20/24</formula>
    </cfRule>
    <cfRule type="expression" dxfId="4337" priority="472">
      <formula>AND(E$9&gt;=14/24,E$9&lt;20/24)</formula>
    </cfRule>
    <cfRule type="expression" dxfId="4336" priority="473">
      <formula>AND(E$9&gt;=8/24,E$9&lt;14/24)</formula>
    </cfRule>
    <cfRule type="expression" dxfId="4335" priority="474">
      <formula>E$9&lt;8/24</formula>
    </cfRule>
  </conditionalFormatting>
  <conditionalFormatting sqref="AL43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334" priority="493">
      <formula>C$9&gt;=20/24</formula>
    </cfRule>
    <cfRule type="expression" dxfId="4333" priority="494">
      <formula>AND(C$9&gt;=14/24,C$9&lt;20/24)</formula>
    </cfRule>
    <cfRule type="expression" dxfId="4332" priority="495">
      <formula>AND(C$9&gt;=8/24,C$9&lt;14/24)</formula>
    </cfRule>
    <cfRule type="expression" dxfId="4331" priority="496">
      <formula>C$9&lt;8/24</formula>
    </cfRule>
  </conditionalFormatting>
  <conditionalFormatting sqref="A233">
    <cfRule type="expression" dxfId="4330" priority="497">
      <formula>$AH233=0</formula>
    </cfRule>
  </conditionalFormatting>
  <conditionalFormatting sqref="AG245">
    <cfRule type="expression" dxfId="4329" priority="498">
      <formula>B$9&gt;=20/24</formula>
    </cfRule>
    <cfRule type="expression" dxfId="4328" priority="499">
      <formula>AND(B$9&gt;=14/24,B$9&lt;20/24)</formula>
    </cfRule>
    <cfRule type="expression" dxfId="4327" priority="500">
      <formula>AND(B$9&gt;=8/24,B$9&lt;14/24)</formula>
    </cfRule>
    <cfRule type="expression" dxfId="4326" priority="501">
      <formula>B$9&lt;8/24</formula>
    </cfRule>
  </conditionalFormatting>
  <conditionalFormatting sqref="S8">
    <cfRule type="expression" dxfId="4325" priority="466">
      <formula>U$9&gt;=20/24</formula>
    </cfRule>
    <cfRule type="expression" dxfId="4324" priority="467">
      <formula>AND(U$9&gt;=14/24,U$9&lt;20/24)</formula>
    </cfRule>
    <cfRule type="expression" dxfId="4323" priority="468">
      <formula>AND(U$9&gt;=8/24,U$9&lt;14/24)</formula>
    </cfRule>
    <cfRule type="expression" dxfId="4322" priority="469">
      <formula>U$9&lt;8/24</formula>
    </cfRule>
  </conditionalFormatting>
  <conditionalFormatting sqref="AB8">
    <cfRule type="expression" dxfId="4321" priority="462">
      <formula>AD$9&gt;=20/24</formula>
    </cfRule>
    <cfRule type="expression" dxfId="4320" priority="463">
      <formula>AND(AD$9&gt;=14/24,AD$9&lt;20/24)</formula>
    </cfRule>
    <cfRule type="expression" dxfId="4319" priority="464">
      <formula>AND(AD$9&gt;=8/24,AD$9&lt;14/24)</formula>
    </cfRule>
    <cfRule type="expression" dxfId="4318" priority="465">
      <formula>AD$9&lt;8/24</formula>
    </cfRule>
  </conditionalFormatting>
  <conditionalFormatting sqref="AH245:AX245">
    <cfRule type="expression" dxfId="4317" priority="502">
      <formula>AG$9&gt;=20/24</formula>
    </cfRule>
    <cfRule type="expression" dxfId="4316" priority="503">
      <formula>AND(AG$9&gt;=14/24,AG$9&lt;20/24)</formula>
    </cfRule>
    <cfRule type="expression" dxfId="4315" priority="504">
      <formula>AND(AG$9&gt;=8/24,AG$9&lt;14/24)</formula>
    </cfRule>
    <cfRule type="expression" dxfId="4314" priority="505">
      <formula>AG$9&lt;8/24</formula>
    </cfRule>
  </conditionalFormatting>
  <conditionalFormatting sqref="T245">
    <cfRule type="expression" dxfId="4313" priority="506">
      <formula>AX$9&gt;=20/24</formula>
    </cfRule>
    <cfRule type="expression" dxfId="4312" priority="507">
      <formula>AND(AX$9&gt;=14/24,AX$9&lt;20/24)</formula>
    </cfRule>
    <cfRule type="expression" dxfId="4311" priority="508">
      <formula>AND(AX$9&gt;=8/24,AX$9&lt;14/24)</formula>
    </cfRule>
    <cfRule type="expression" dxfId="4310" priority="509">
      <formula>AX$9&lt;8/24</formula>
    </cfRule>
  </conditionalFormatting>
  <conditionalFormatting sqref="A115:A116">
    <cfRule type="expression" dxfId="4309" priority="461">
      <formula>$AH115=0</formula>
    </cfRule>
  </conditionalFormatting>
  <conditionalFormatting sqref="M54:R58 X56:AF57 E71:AF71">
    <cfRule type="expression" dxfId="4308" priority="457">
      <formula>E$9&gt;=20/24</formula>
    </cfRule>
    <cfRule type="expression" dxfId="4307" priority="458">
      <formula>AND(E$9&gt;=14/24,E$9&lt;20/24)</formula>
    </cfRule>
    <cfRule type="expression" dxfId="4306" priority="459">
      <formula>AND(E$9&gt;=8/24,E$9&lt;14/24)</formula>
    </cfRule>
    <cfRule type="expression" dxfId="4305" priority="460">
      <formula>E$9&lt;8/24</formula>
    </cfRule>
  </conditionalFormatting>
  <conditionalFormatting sqref="M53:R53">
    <cfRule type="expression" dxfId="4304" priority="453">
      <formula>M$9&gt;=20/24</formula>
    </cfRule>
    <cfRule type="expression" dxfId="4303" priority="454">
      <formula>AND(M$9&gt;=14/24,M$9&lt;20/24)</formula>
    </cfRule>
    <cfRule type="expression" dxfId="4302" priority="455">
      <formula>AND(M$9&gt;=8/24,M$9&lt;14/24)</formula>
    </cfRule>
    <cfRule type="expression" dxfId="4301" priority="456">
      <formula>M$9&lt;8/24</formula>
    </cfRule>
  </conditionalFormatting>
  <conditionalFormatting sqref="M53:R58 X56:AF57">
    <cfRule type="expression" dxfId="4300" priority="452">
      <formula>M53&gt;$AG53</formula>
    </cfRule>
  </conditionalFormatting>
  <conditionalFormatting sqref="D86:AF86 M100:X106 X47:AF47 X96:AF96 AD100:AF106 Y67:AF69 E72:AF73">
    <cfRule type="expression" dxfId="4299" priority="448">
      <formula>D$9&gt;=20/24</formula>
    </cfRule>
    <cfRule type="expression" dxfId="4298" priority="449">
      <formula>AND(D$9&gt;=14/24,D$9&lt;20/24)</formula>
    </cfRule>
    <cfRule type="expression" dxfId="4297" priority="450">
      <formula>AND(D$9&gt;=8/24,D$9&lt;14/24)</formula>
    </cfRule>
    <cfRule type="expression" dxfId="4296" priority="451">
      <formula>D$9&lt;8/24</formula>
    </cfRule>
  </conditionalFormatting>
  <conditionalFormatting sqref="X47:AF47 Y67:AF69">
    <cfRule type="expression" dxfId="4295" priority="447">
      <formula>X47&gt;$AG47</formula>
    </cfRule>
  </conditionalFormatting>
  <conditionalFormatting sqref="S56:W60 S53:AF55 X58:AF60">
    <cfRule type="expression" dxfId="4294" priority="443">
      <formula>S$9&gt;=20/24</formula>
    </cfRule>
    <cfRule type="expression" dxfId="4293" priority="444">
      <formula>AND(S$9&gt;=14/24,S$9&lt;20/24)</formula>
    </cfRule>
    <cfRule type="expression" dxfId="4292" priority="445">
      <formula>AND(S$9&gt;=8/24,S$9&lt;14/24)</formula>
    </cfRule>
    <cfRule type="expression" dxfId="4291" priority="446">
      <formula>S$9&lt;8/24</formula>
    </cfRule>
  </conditionalFormatting>
  <conditionalFormatting sqref="S56:W60 S53:AF55 X58:AF60">
    <cfRule type="expression" dxfId="4290" priority="442">
      <formula>S53&gt;$AG53</formula>
    </cfRule>
  </conditionalFormatting>
  <conditionalFormatting sqref="D88:AF88 C97:AF97">
    <cfRule type="expression" dxfId="4289" priority="438">
      <formula>C$9&gt;=20/24</formula>
    </cfRule>
    <cfRule type="expression" dxfId="4288" priority="439">
      <formula>AND(C$9&gt;=14/24,C$9&lt;20/24)</formula>
    </cfRule>
    <cfRule type="expression" dxfId="4287" priority="440">
      <formula>AND(C$9&gt;=8/24,C$9&lt;14/24)</formula>
    </cfRule>
    <cfRule type="expression" dxfId="4286" priority="441">
      <formula>C$9&lt;8/24</formula>
    </cfRule>
  </conditionalFormatting>
  <conditionalFormatting sqref="E54:L55">
    <cfRule type="expression" dxfId="4285" priority="429">
      <formula>E$9&gt;=20/24</formula>
    </cfRule>
    <cfRule type="expression" dxfId="4284" priority="430">
      <formula>AND(E$9&gt;=14/24,E$9&lt;20/24)</formula>
    </cfRule>
    <cfRule type="expression" dxfId="4283" priority="431">
      <formula>AND(E$9&gt;=8/24,E$9&lt;14/24)</formula>
    </cfRule>
    <cfRule type="expression" dxfId="4282" priority="432">
      <formula>E$9&lt;8/24</formula>
    </cfRule>
  </conditionalFormatting>
  <conditionalFormatting sqref="E53:L53">
    <cfRule type="expression" dxfId="4281" priority="425">
      <formula>E$9&gt;=20/24</formula>
    </cfRule>
    <cfRule type="expression" dxfId="4280" priority="426">
      <formula>AND(E$9&gt;=14/24,E$9&lt;20/24)</formula>
    </cfRule>
    <cfRule type="expression" dxfId="4279" priority="427">
      <formula>AND(E$9&gt;=8/24,E$9&lt;14/24)</formula>
    </cfRule>
    <cfRule type="expression" dxfId="4278" priority="428">
      <formula>E$9&lt;8/24</formula>
    </cfRule>
  </conditionalFormatting>
  <conditionalFormatting sqref="E53:L55">
    <cfRule type="expression" dxfId="4277" priority="424">
      <formula>E53&gt;$AG53</formula>
    </cfRule>
  </conditionalFormatting>
  <conditionalFormatting sqref="AG70 AG87 E100:L106 Q67:X69">
    <cfRule type="expression" dxfId="4276" priority="420">
      <formula>E$9&gt;=20/24</formula>
    </cfRule>
    <cfRule type="expression" dxfId="4275" priority="421">
      <formula>AND(E$9&gt;=14/24,E$9&lt;20/24)</formula>
    </cfRule>
    <cfRule type="expression" dxfId="4274" priority="422">
      <formula>AND(E$9&gt;=8/24,E$9&lt;14/24)</formula>
    </cfRule>
    <cfRule type="expression" dxfId="4273" priority="423">
      <formula>E$9&lt;8/24</formula>
    </cfRule>
  </conditionalFormatting>
  <conditionalFormatting sqref="AG48 AG66 AG70 Q67:X69">
    <cfRule type="expression" dxfId="4272" priority="419">
      <formula>Q48&gt;$AG48</formula>
    </cfRule>
  </conditionalFormatting>
  <conditionalFormatting sqref="A43">
    <cfRule type="expression" dxfId="4271" priority="413">
      <formula>$AH43=0</formula>
    </cfRule>
  </conditionalFormatting>
  <conditionalFormatting sqref="X91:AF95">
    <cfRule type="expression" dxfId="4270" priority="409">
      <formula>X$9&gt;=20/24</formula>
    </cfRule>
    <cfRule type="expression" dxfId="4269" priority="410">
      <formula>AND(X$9&gt;=14/24,X$9&lt;20/24)</formula>
    </cfRule>
    <cfRule type="expression" dxfId="4268" priority="411">
      <formula>AND(X$9&gt;=8/24,X$9&lt;14/24)</formula>
    </cfRule>
    <cfRule type="expression" dxfId="4267" priority="412">
      <formula>X$9&lt;8/24</formula>
    </cfRule>
  </conditionalFormatting>
  <conditionalFormatting sqref="AL45 AL41 AL22:AL32 AL38:AL39 AL7:AL15 AL17:AL20 AL34:AL36">
    <cfRule type="iconSet" priority="510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4266" priority="405">
      <formula>E$9&gt;=20/24</formula>
    </cfRule>
    <cfRule type="expression" dxfId="4265" priority="406">
      <formula>AND(E$9&gt;=14/24,E$9&lt;20/24)</formula>
    </cfRule>
    <cfRule type="expression" dxfId="4264" priority="407">
      <formula>AND(E$9&gt;=8/24,E$9&lt;14/24)</formula>
    </cfRule>
    <cfRule type="expression" dxfId="4263" priority="408">
      <formula>E$9&lt;8/24</formula>
    </cfRule>
  </conditionalFormatting>
  <conditionalFormatting sqref="E49:AF51">
    <cfRule type="expression" dxfId="4262" priority="404">
      <formula>E49&gt;$AG49</formula>
    </cfRule>
  </conditionalFormatting>
  <conditionalFormatting sqref="AG52">
    <cfRule type="expression" dxfId="4261" priority="400">
      <formula>AG$9&gt;=20/24</formula>
    </cfRule>
    <cfRule type="expression" dxfId="4260" priority="401">
      <formula>AND(AG$9&gt;=14/24,AG$9&lt;20/24)</formula>
    </cfRule>
    <cfRule type="expression" dxfId="4259" priority="402">
      <formula>AND(AG$9&gt;=8/24,AG$9&lt;14/24)</formula>
    </cfRule>
    <cfRule type="expression" dxfId="4258" priority="403">
      <formula>AG$9&lt;8/24</formula>
    </cfRule>
  </conditionalFormatting>
  <conditionalFormatting sqref="AG52">
    <cfRule type="expression" dxfId="4257" priority="399">
      <formula>AG52&gt;$AG52</formula>
    </cfRule>
  </conditionalFormatting>
  <conditionalFormatting sqref="C107:AF107">
    <cfRule type="expression" dxfId="4256" priority="395">
      <formula>C$9&gt;=20/24</formula>
    </cfRule>
    <cfRule type="expression" dxfId="4255" priority="396">
      <formula>AND(C$9&gt;=14/24,C$9&lt;20/24)</formula>
    </cfRule>
    <cfRule type="expression" dxfId="4254" priority="397">
      <formula>AND(C$9&gt;=8/24,C$9&lt;14/24)</formula>
    </cfRule>
    <cfRule type="expression" dxfId="4253" priority="398">
      <formula>C$9&lt;8/24</formula>
    </cfRule>
  </conditionalFormatting>
  <conditionalFormatting sqref="AL40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252" priority="393">
      <formula>$AH40=0</formula>
    </cfRule>
  </conditionalFormatting>
  <conditionalFormatting sqref="A90">
    <cfRule type="expression" dxfId="4251" priority="391">
      <formula>$AH90=0</formula>
    </cfRule>
  </conditionalFormatting>
  <conditionalFormatting sqref="A87">
    <cfRule type="expression" dxfId="4250" priority="392">
      <formula>$AH87=0</formula>
    </cfRule>
  </conditionalFormatting>
  <conditionalFormatting sqref="D110:AF110">
    <cfRule type="expression" dxfId="4249" priority="387">
      <formula>D$9&gt;=20/24</formula>
    </cfRule>
    <cfRule type="expression" dxfId="4248" priority="388">
      <formula>AND(D$9&gt;=14/24,D$9&lt;20/24)</formula>
    </cfRule>
    <cfRule type="expression" dxfId="4247" priority="389">
      <formula>AND(D$9&gt;=8/24,D$9&lt;14/24)</formula>
    </cfRule>
    <cfRule type="expression" dxfId="4246" priority="390">
      <formula>D$9&lt;8/24</formula>
    </cfRule>
  </conditionalFormatting>
  <conditionalFormatting sqref="A110">
    <cfRule type="expression" dxfId="4245" priority="386">
      <formula>$AH110=0</formula>
    </cfRule>
  </conditionalFormatting>
  <conditionalFormatting sqref="A21">
    <cfRule type="expression" dxfId="4244" priority="384">
      <formula>$AH21=0</formula>
    </cfRule>
  </conditionalFormatting>
  <conditionalFormatting sqref="AL21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243" priority="382">
      <formula>$AH37=0</formula>
    </cfRule>
  </conditionalFormatting>
  <conditionalFormatting sqref="AL37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4242" priority="378">
      <formula>Y$9&gt;=20/24</formula>
    </cfRule>
    <cfRule type="expression" dxfId="4241" priority="379">
      <formula>AND(Y$9&gt;=14/24,Y$9&lt;20/24)</formula>
    </cfRule>
    <cfRule type="expression" dxfId="4240" priority="380">
      <formula>AND(Y$9&gt;=8/24,Y$9&lt;14/24)</formula>
    </cfRule>
    <cfRule type="expression" dxfId="4239" priority="381">
      <formula>Y$9&lt;8/24</formula>
    </cfRule>
  </conditionalFormatting>
  <conditionalFormatting sqref="Y100:AC106">
    <cfRule type="expression" dxfId="4238" priority="374">
      <formula>Y$9&gt;=20/24</formula>
    </cfRule>
    <cfRule type="expression" dxfId="4237" priority="375">
      <formula>AND(Y$9&gt;=14/24,Y$9&lt;20/24)</formula>
    </cfRule>
    <cfRule type="expression" dxfId="4236" priority="376">
      <formula>AND(Y$9&gt;=8/24,Y$9&lt;14/24)</formula>
    </cfRule>
    <cfRule type="expression" dxfId="4235" priority="377">
      <formula>Y$9&lt;8/24</formula>
    </cfRule>
  </conditionalFormatting>
  <conditionalFormatting sqref="C109 C111:C116">
    <cfRule type="expression" dxfId="4234" priority="370">
      <formula>C$9&gt;=20/24</formula>
    </cfRule>
    <cfRule type="expression" dxfId="4233" priority="371">
      <formula>AND(C$9&gt;=14/24,C$9&lt;20/24)</formula>
    </cfRule>
    <cfRule type="expression" dxfId="4232" priority="372">
      <formula>AND(C$9&gt;=8/24,C$9&lt;14/24)</formula>
    </cfRule>
    <cfRule type="expression" dxfId="4231" priority="373">
      <formula>C$9&lt;8/24</formula>
    </cfRule>
  </conditionalFormatting>
  <conditionalFormatting sqref="C47:W47">
    <cfRule type="expression" dxfId="4230" priority="366">
      <formula>C$9&gt;=20/24</formula>
    </cfRule>
    <cfRule type="expression" dxfId="4229" priority="367">
      <formula>AND(C$9&gt;=14/24,C$9&lt;20/24)</formula>
    </cfRule>
    <cfRule type="expression" dxfId="4228" priority="368">
      <formula>AND(C$9&gt;=8/24,C$9&lt;14/24)</formula>
    </cfRule>
    <cfRule type="expression" dxfId="4227" priority="369">
      <formula>C$9&lt;8/24</formula>
    </cfRule>
  </conditionalFormatting>
  <conditionalFormatting sqref="C47:W47">
    <cfRule type="expression" dxfId="4226" priority="365">
      <formula>C47&gt;$AG47</formula>
    </cfRule>
  </conditionalFormatting>
  <conditionalFormatting sqref="C99:D99">
    <cfRule type="expression" dxfId="4225" priority="361">
      <formula>C$9&gt;=20/24</formula>
    </cfRule>
    <cfRule type="expression" dxfId="4224" priority="362">
      <formula>AND(C$9&gt;=14/24,C$9&lt;20/24)</formula>
    </cfRule>
    <cfRule type="expression" dxfId="4223" priority="363">
      <formula>AND(C$9&gt;=8/24,C$9&lt;14/24)</formula>
    </cfRule>
    <cfRule type="expression" dxfId="4222" priority="364">
      <formula>C$9&lt;8/24</formula>
    </cfRule>
  </conditionalFormatting>
  <conditionalFormatting sqref="C86 C100:D106 C96:W96 C83:AF85 C73:D73 N67:P69 E74:AF76">
    <cfRule type="expression" dxfId="4221" priority="348">
      <formula>C$9&gt;=20/24</formula>
    </cfRule>
    <cfRule type="expression" dxfId="4220" priority="349">
      <formula>AND(C$9&gt;=14/24,C$9&lt;20/24)</formula>
    </cfRule>
    <cfRule type="expression" dxfId="4219" priority="350">
      <formula>AND(C$9&gt;=8/24,C$9&lt;14/24)</formula>
    </cfRule>
    <cfRule type="expression" dxfId="4218" priority="351">
      <formula>C$9&lt;8/24</formula>
    </cfRule>
  </conditionalFormatting>
  <conditionalFormatting sqref="E56:L57 N67:P69">
    <cfRule type="expression" dxfId="4217" priority="347">
      <formula>E56&gt;$AG56</formula>
    </cfRule>
  </conditionalFormatting>
  <conditionalFormatting sqref="E58:L58">
    <cfRule type="expression" dxfId="4216" priority="343">
      <formula>E$9&gt;=20/24</formula>
    </cfRule>
    <cfRule type="expression" dxfId="4215" priority="344">
      <formula>AND(E$9&gt;=14/24,E$9&lt;20/24)</formula>
    </cfRule>
    <cfRule type="expression" dxfId="4214" priority="345">
      <formula>AND(E$9&gt;=8/24,E$9&lt;14/24)</formula>
    </cfRule>
    <cfRule type="expression" dxfId="4213" priority="346">
      <formula>E$9&lt;8/24</formula>
    </cfRule>
  </conditionalFormatting>
  <conditionalFormatting sqref="E58:L58">
    <cfRule type="expression" dxfId="4212" priority="342">
      <formula>E58&gt;$AG58</formula>
    </cfRule>
  </conditionalFormatting>
  <conditionalFormatting sqref="C54:D57 C71:D71">
    <cfRule type="expression" dxfId="4211" priority="261">
      <formula>C$9&gt;=20/24</formula>
    </cfRule>
    <cfRule type="expression" dxfId="4210" priority="262">
      <formula>AND(C$9&gt;=14/24,C$9&lt;20/24)</formula>
    </cfRule>
    <cfRule type="expression" dxfId="4209" priority="263">
      <formula>AND(C$9&gt;=8/24,C$9&lt;14/24)</formula>
    </cfRule>
    <cfRule type="expression" dxfId="4208" priority="264">
      <formula>C$9&lt;8/24</formula>
    </cfRule>
  </conditionalFormatting>
  <conditionalFormatting sqref="C87:AF87 C89:AF89 C98:AF98 C70:AF70">
    <cfRule type="expression" dxfId="4207" priority="333">
      <formula>C$9&gt;=20/24</formula>
    </cfRule>
    <cfRule type="expression" dxfId="4206" priority="334">
      <formula>AND(C$9&gt;=14/24,C$9&lt;20/24)</formula>
    </cfRule>
    <cfRule type="expression" dxfId="4205" priority="335">
      <formula>AND(C$9&gt;=8/24,C$9&lt;14/24)</formula>
    </cfRule>
    <cfRule type="expression" dxfId="4204" priority="336">
      <formula>C$9&lt;8/24</formula>
    </cfRule>
  </conditionalFormatting>
  <conditionalFormatting sqref="C48:AF48 C65:AF66 C70:AF70">
    <cfRule type="expression" dxfId="4203" priority="332">
      <formula>C48&gt;$AG48</formula>
    </cfRule>
  </conditionalFormatting>
  <conditionalFormatting sqref="C82:AF82">
    <cfRule type="expression" dxfId="4202" priority="328">
      <formula>C$9&gt;=20/24</formula>
    </cfRule>
    <cfRule type="expression" dxfId="4201" priority="329">
      <formula>AND(C$9&gt;=14/24,C$9&lt;20/24)</formula>
    </cfRule>
    <cfRule type="expression" dxfId="4200" priority="330">
      <formula>AND(C$9&gt;=8/24,C$9&lt;14/24)</formula>
    </cfRule>
    <cfRule type="expression" dxfId="4199" priority="331">
      <formula>C$9&lt;8/24</formula>
    </cfRule>
  </conditionalFormatting>
  <conditionalFormatting sqref="C91:W95">
    <cfRule type="expression" dxfId="4198" priority="324">
      <formula>C$9&gt;=20/24</formula>
    </cfRule>
    <cfRule type="expression" dxfId="4197" priority="325">
      <formula>AND(C$9&gt;=14/24,C$9&lt;20/24)</formula>
    </cfRule>
    <cfRule type="expression" dxfId="4196" priority="326">
      <formula>AND(C$9&gt;=8/24,C$9&lt;14/24)</formula>
    </cfRule>
    <cfRule type="expression" dxfId="4195" priority="327">
      <formula>C$9&lt;8/24</formula>
    </cfRule>
  </conditionalFormatting>
  <conditionalFormatting sqref="C52:AF52">
    <cfRule type="expression" dxfId="4194" priority="315">
      <formula>C$9&gt;=20/24</formula>
    </cfRule>
    <cfRule type="expression" dxfId="4193" priority="316">
      <formula>AND(C$9&gt;=14/24,C$9&lt;20/24)</formula>
    </cfRule>
    <cfRule type="expression" dxfId="4192" priority="317">
      <formula>AND(C$9&gt;=8/24,C$9&lt;14/24)</formula>
    </cfRule>
    <cfRule type="expression" dxfId="4191" priority="318">
      <formula>C$9&lt;8/24</formula>
    </cfRule>
  </conditionalFormatting>
  <conditionalFormatting sqref="C52:AF52">
    <cfRule type="expression" dxfId="4190" priority="314">
      <formula>C52&gt;$AG52</formula>
    </cfRule>
  </conditionalFormatting>
  <conditionalFormatting sqref="C49:D51">
    <cfRule type="expression" dxfId="4189" priority="229">
      <formula>C$9&gt;=20/24</formula>
    </cfRule>
    <cfRule type="expression" dxfId="4188" priority="230">
      <formula>AND(C$9&gt;=14/24,C$9&lt;20/24)</formula>
    </cfRule>
    <cfRule type="expression" dxfId="4187" priority="231">
      <formula>AND(C$9&gt;=8/24,C$9&lt;14/24)</formula>
    </cfRule>
    <cfRule type="expression" dxfId="4186" priority="232">
      <formula>C$9&lt;8/24</formula>
    </cfRule>
  </conditionalFormatting>
  <conditionalFormatting sqref="C110">
    <cfRule type="expression" dxfId="4185" priority="306">
      <formula>C$9&gt;=20/24</formula>
    </cfRule>
    <cfRule type="expression" dxfId="4184" priority="307">
      <formula>AND(C$9&gt;=14/24,C$9&lt;20/24)</formula>
    </cfRule>
    <cfRule type="expression" dxfId="4183" priority="308">
      <formula>AND(C$9&gt;=8/24,C$9&lt;14/24)</formula>
    </cfRule>
    <cfRule type="expression" dxfId="4182" priority="309">
      <formula>C$9&lt;8/24</formula>
    </cfRule>
  </conditionalFormatting>
  <conditionalFormatting sqref="E59:R64 S61:AF64">
    <cfRule type="expression" dxfId="4181" priority="302">
      <formula>E$9&gt;=20/24</formula>
    </cfRule>
    <cfRule type="expression" dxfId="4180" priority="303">
      <formula>AND(E$9&gt;=14/24,E$9&lt;20/24)</formula>
    </cfRule>
    <cfRule type="expression" dxfId="4179" priority="304">
      <formula>AND(E$9&gt;=8/24,E$9&lt;14/24)</formula>
    </cfRule>
    <cfRule type="expression" dxfId="4178" priority="305">
      <formula>E$9&lt;8/24</formula>
    </cfRule>
  </conditionalFormatting>
  <conditionalFormatting sqref="E59:R64 S61:AF64">
    <cfRule type="expression" dxfId="4177" priority="301">
      <formula>E59&gt;$AG59</formula>
    </cfRule>
  </conditionalFormatting>
  <conditionalFormatting sqref="E13:AF15">
    <cfRule type="expression" dxfId="4176" priority="300">
      <formula>E13&gt;$AG13</formula>
    </cfRule>
  </conditionalFormatting>
  <conditionalFormatting sqref="E12:AF12">
    <cfRule type="expression" dxfId="4175" priority="296">
      <formula>E$9&gt;=20/24</formula>
    </cfRule>
    <cfRule type="expression" dxfId="4174" priority="297">
      <formula>AND(E$9&gt;=14/24,E$9&lt;20/24)</formula>
    </cfRule>
    <cfRule type="expression" dxfId="4173" priority="298">
      <formula>AND(E$9&gt;=8/24,E$9&lt;14/24)</formula>
    </cfRule>
    <cfRule type="expression" dxfId="4172" priority="299">
      <formula>E$9&lt;8/24</formula>
    </cfRule>
  </conditionalFormatting>
  <conditionalFormatting sqref="E12:AF12">
    <cfRule type="expression" dxfId="4171" priority="295">
      <formula>E12&gt;$AG12</formula>
    </cfRule>
  </conditionalFormatting>
  <conditionalFormatting sqref="E13:AF15">
    <cfRule type="expression" dxfId="4170" priority="291">
      <formula>E$9&gt;=20/24</formula>
    </cfRule>
    <cfRule type="expression" dxfId="4169" priority="292">
      <formula>AND(E$9&gt;=14/24,E$9&lt;20/24)</formula>
    </cfRule>
    <cfRule type="expression" dxfId="4168" priority="293">
      <formula>AND(E$9&gt;=8/24,E$9&lt;14/24)</formula>
    </cfRule>
    <cfRule type="expression" dxfId="4167" priority="294">
      <formula>E$9&lt;8/24</formula>
    </cfRule>
  </conditionalFormatting>
  <conditionalFormatting sqref="E77:AF81">
    <cfRule type="expression" dxfId="4166" priority="283">
      <formula>E$9&gt;=20/24</formula>
    </cfRule>
    <cfRule type="expression" dxfId="4165" priority="284">
      <formula>AND(E$9&gt;=14/24,E$9&lt;20/24)</formula>
    </cfRule>
    <cfRule type="expression" dxfId="4164" priority="285">
      <formula>AND(E$9&gt;=8/24,E$9&lt;14/24)</formula>
    </cfRule>
    <cfRule type="expression" dxfId="4163" priority="286">
      <formula>E$9&lt;8/24</formula>
    </cfRule>
  </conditionalFormatting>
  <conditionalFormatting sqref="AL78:AN78 AL84:AN84 AN79:AN80">
    <cfRule type="expression" dxfId="4162" priority="279">
      <formula>AL$9&gt;=20/24</formula>
    </cfRule>
    <cfRule type="expression" dxfId="4161" priority="280">
      <formula>AND(AL$9&gt;=14/24,AL$9&lt;20/24)</formula>
    </cfRule>
    <cfRule type="expression" dxfId="4160" priority="281">
      <formula>AND(AL$9&gt;=8/24,AL$9&lt;14/24)</formula>
    </cfRule>
    <cfRule type="expression" dxfId="4159" priority="282">
      <formula>AL$9&lt;8/24</formula>
    </cfRule>
  </conditionalFormatting>
  <conditionalFormatting sqref="AN81:AN82">
    <cfRule type="expression" dxfId="4158" priority="275">
      <formula>AN$9&gt;=20/24</formula>
    </cfRule>
    <cfRule type="expression" dxfId="4157" priority="276">
      <formula>AND(AN$9&gt;=14/24,AN$9&lt;20/24)</formula>
    </cfRule>
    <cfRule type="expression" dxfId="4156" priority="277">
      <formula>AND(AN$9&gt;=8/24,AN$9&lt;14/24)</formula>
    </cfRule>
    <cfRule type="expression" dxfId="4155" priority="278">
      <formula>AN$9&lt;8/24</formula>
    </cfRule>
  </conditionalFormatting>
  <conditionalFormatting sqref="AL79:AM83">
    <cfRule type="expression" dxfId="4154" priority="511">
      <formula>AJ$9&gt;=20/24</formula>
    </cfRule>
    <cfRule type="expression" dxfId="4153" priority="512">
      <formula>AND(AJ$9&gt;=14/24,AJ$9&lt;20/24)</formula>
    </cfRule>
    <cfRule type="expression" dxfId="4152" priority="513">
      <formula>AND(AJ$9&gt;=8/24,AJ$9&lt;14/24)</formula>
    </cfRule>
    <cfRule type="expression" dxfId="4151" priority="514">
      <formula>AJ$9&lt;8/24</formula>
    </cfRule>
  </conditionalFormatting>
  <conditionalFormatting sqref="A117">
    <cfRule type="expression" dxfId="4150" priority="274">
      <formula>$AH117=0</formula>
    </cfRule>
  </conditionalFormatting>
  <conditionalFormatting sqref="C53:D53">
    <cfRule type="expression" dxfId="4149" priority="257">
      <formula>C$9&gt;=20/24</formula>
    </cfRule>
    <cfRule type="expression" dxfId="4148" priority="258">
      <formula>AND(C$9&gt;=14/24,C$9&lt;20/24)</formula>
    </cfRule>
    <cfRule type="expression" dxfId="4147" priority="259">
      <formula>AND(C$9&gt;=8/24,C$9&lt;14/24)</formula>
    </cfRule>
    <cfRule type="expression" dxfId="4146" priority="260">
      <formula>C$9&lt;8/24</formula>
    </cfRule>
  </conditionalFormatting>
  <conditionalFormatting sqref="C53:D57">
    <cfRule type="expression" dxfId="4145" priority="256">
      <formula>C53&gt;$AG53</formula>
    </cfRule>
  </conditionalFormatting>
  <conditionalFormatting sqref="C72:D72 C74:D74 C67:M69">
    <cfRule type="expression" dxfId="4144" priority="252">
      <formula>C$9&gt;=20/24</formula>
    </cfRule>
    <cfRule type="expression" dxfId="4143" priority="253">
      <formula>AND(C$9&gt;=14/24,C$9&lt;20/24)</formula>
    </cfRule>
    <cfRule type="expression" dxfId="4142" priority="254">
      <formula>AND(C$9&gt;=8/24,C$9&lt;14/24)</formula>
    </cfRule>
    <cfRule type="expression" dxfId="4141" priority="255">
      <formula>C$9&lt;8/24</formula>
    </cfRule>
  </conditionalFormatting>
  <conditionalFormatting sqref="C67:M69">
    <cfRule type="expression" dxfId="4140" priority="251">
      <formula>C67&gt;$AG67</formula>
    </cfRule>
  </conditionalFormatting>
  <conditionalFormatting sqref="C88">
    <cfRule type="expression" dxfId="4139" priority="247">
      <formula>C$9&gt;=20/24</formula>
    </cfRule>
    <cfRule type="expression" dxfId="4138" priority="248">
      <formula>AND(C$9&gt;=14/24,C$9&lt;20/24)</formula>
    </cfRule>
    <cfRule type="expression" dxfId="4137" priority="249">
      <formula>AND(C$9&gt;=8/24,C$9&lt;14/24)</formula>
    </cfRule>
    <cfRule type="expression" dxfId="4136" priority="250">
      <formula>C$9&lt;8/24</formula>
    </cfRule>
  </conditionalFormatting>
  <conditionalFormatting sqref="C58:D58">
    <cfRule type="expression" dxfId="4135" priority="238">
      <formula>C$9&gt;=20/24</formula>
    </cfRule>
    <cfRule type="expression" dxfId="4134" priority="239">
      <formula>AND(C$9&gt;=14/24,C$9&lt;20/24)</formula>
    </cfRule>
    <cfRule type="expression" dxfId="4133" priority="240">
      <formula>AND(C$9&gt;=8/24,C$9&lt;14/24)</formula>
    </cfRule>
    <cfRule type="expression" dxfId="4132" priority="241">
      <formula>C$9&lt;8/24</formula>
    </cfRule>
  </conditionalFormatting>
  <conditionalFormatting sqref="C58:D58">
    <cfRule type="expression" dxfId="4131" priority="237">
      <formula>C58&gt;$AG58</formula>
    </cfRule>
  </conditionalFormatting>
  <conditionalFormatting sqref="C49:D51">
    <cfRule type="expression" dxfId="4130" priority="228">
      <formula>C49&gt;$AG49</formula>
    </cfRule>
  </conditionalFormatting>
  <conditionalFormatting sqref="C75:D76">
    <cfRule type="expression" dxfId="4129" priority="216">
      <formula>C$9&gt;=20/24</formula>
    </cfRule>
    <cfRule type="expression" dxfId="4128" priority="217">
      <formula>AND(C$9&gt;=14/24,C$9&lt;20/24)</formula>
    </cfRule>
    <cfRule type="expression" dxfId="4127" priority="218">
      <formula>AND(C$9&gt;=8/24,C$9&lt;14/24)</formula>
    </cfRule>
    <cfRule type="expression" dxfId="4126" priority="219">
      <formula>C$9&lt;8/24</formula>
    </cfRule>
  </conditionalFormatting>
  <conditionalFormatting sqref="C77:D81">
    <cfRule type="expression" dxfId="4125" priority="189">
      <formula>C$9&gt;=20/24</formula>
    </cfRule>
    <cfRule type="expression" dxfId="4124" priority="190">
      <formula>AND(C$9&gt;=14/24,C$9&lt;20/24)</formula>
    </cfRule>
    <cfRule type="expression" dxfId="4123" priority="191">
      <formula>AND(C$9&gt;=8/24,C$9&lt;14/24)</formula>
    </cfRule>
    <cfRule type="expression" dxfId="4122" priority="192">
      <formula>C$9&lt;8/24</formula>
    </cfRule>
  </conditionalFormatting>
  <conditionalFormatting sqref="A11">
    <cfRule type="expression" dxfId="4121" priority="183">
      <formula>$AH11=0</formula>
    </cfRule>
  </conditionalFormatting>
  <conditionalFormatting sqref="E11:AF11">
    <cfRule type="expression" dxfId="4120" priority="179">
      <formula>E$9&gt;=20/24</formula>
    </cfRule>
    <cfRule type="expression" dxfId="4119" priority="180">
      <formula>AND(E$9&gt;=14/24,E$9&lt;20/24)</formula>
    </cfRule>
    <cfRule type="expression" dxfId="4118" priority="181">
      <formula>AND(E$9&gt;=8/24,E$9&lt;14/24)</formula>
    </cfRule>
    <cfRule type="expression" dxfId="4117" priority="182">
      <formula>E$9&lt;8/24</formula>
    </cfRule>
  </conditionalFormatting>
  <conditionalFormatting sqref="E11:AF11">
    <cfRule type="expression" dxfId="4116" priority="178">
      <formula>E11&gt;$AG11</formula>
    </cfRule>
  </conditionalFormatting>
  <conditionalFormatting sqref="A16">
    <cfRule type="expression" dxfId="4115" priority="166">
      <formula>$AH16=0</formula>
    </cfRule>
  </conditionalFormatting>
  <conditionalFormatting sqref="AL1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E16:AF16">
    <cfRule type="expression" dxfId="4114" priority="162">
      <formula>E$9&gt;=20/24</formula>
    </cfRule>
    <cfRule type="expression" dxfId="4113" priority="163">
      <formula>AND(E$9&gt;=14/24,E$9&lt;20/24)</formula>
    </cfRule>
    <cfRule type="expression" dxfId="4112" priority="164">
      <formula>AND(E$9&gt;=8/24,E$9&lt;14/24)</formula>
    </cfRule>
    <cfRule type="expression" dxfId="4111" priority="165">
      <formula>E$9&lt;8/24</formula>
    </cfRule>
  </conditionalFormatting>
  <conditionalFormatting sqref="E16:AF16">
    <cfRule type="expression" dxfId="4110" priority="161">
      <formula>E16&gt;$AG16</formula>
    </cfRule>
  </conditionalFormatting>
  <conditionalFormatting sqref="A33">
    <cfRule type="expression" dxfId="4109" priority="149">
      <formula>$AH33=0</formula>
    </cfRule>
  </conditionalFormatting>
  <conditionalFormatting sqref="AL33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4108" priority="132">
      <formula>$AH44=0</formula>
    </cfRule>
  </conditionalFormatting>
  <conditionalFormatting sqref="AL44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4107" priority="118">
      <formula>D$9&gt;=20/24</formula>
    </cfRule>
    <cfRule type="expression" dxfId="4106" priority="119">
      <formula>AND(D$9&gt;=14/24,D$9&lt;20/24)</formula>
    </cfRule>
    <cfRule type="expression" dxfId="4105" priority="120">
      <formula>AND(D$9&gt;=8/24,D$9&lt;14/24)</formula>
    </cfRule>
    <cfRule type="expression" dxfId="4104" priority="121">
      <formula>D$9&lt;8/24</formula>
    </cfRule>
  </conditionalFormatting>
  <conditionalFormatting sqref="C117">
    <cfRule type="expression" dxfId="4103" priority="114">
      <formula>C$9&gt;=20/24</formula>
    </cfRule>
    <cfRule type="expression" dxfId="4102" priority="115">
      <formula>AND(C$9&gt;=14/24,C$9&lt;20/24)</formula>
    </cfRule>
    <cfRule type="expression" dxfId="4101" priority="116">
      <formula>AND(C$9&gt;=8/24,C$9&lt;14/24)</formula>
    </cfRule>
    <cfRule type="expression" dxfId="4100" priority="117">
      <formula>C$9&lt;8/24</formula>
    </cfRule>
  </conditionalFormatting>
  <conditionalFormatting sqref="B109 B111:B116 B12:D15 B17:AF32 B34:AF43 B45:AF45">
    <cfRule type="expression" dxfId="4099" priority="106">
      <formula>B$9&gt;=20/24</formula>
    </cfRule>
    <cfRule type="expression" dxfId="4098" priority="107">
      <formula>AND(B$9&gt;=14/24,B$9&lt;20/24)</formula>
    </cfRule>
    <cfRule type="expression" dxfId="4097" priority="108">
      <formula>AND(B$9&gt;=8/24,B$9&lt;14/24)</formula>
    </cfRule>
    <cfRule type="expression" dxfId="4096" priority="109">
      <formula>B$9&lt;8/24</formula>
    </cfRule>
  </conditionalFormatting>
  <conditionalFormatting sqref="B12:D15 B17:AF32 B34:AF43 B45:AF45">
    <cfRule type="expression" dxfId="4095" priority="105">
      <formula>B12&gt;$AG12</formula>
    </cfRule>
  </conditionalFormatting>
  <conditionalFormatting sqref="B99">
    <cfRule type="expression" dxfId="4094" priority="101">
      <formula>B$9&gt;=20/24</formula>
    </cfRule>
    <cfRule type="expression" dxfId="4093" priority="102">
      <formula>AND(B$9&gt;=14/24,B$9&lt;20/24)</formula>
    </cfRule>
    <cfRule type="expression" dxfId="4092" priority="103">
      <formula>AND(B$9&gt;=8/24,B$9&lt;14/24)</formula>
    </cfRule>
    <cfRule type="expression" dxfId="4091" priority="104">
      <formula>B$9&lt;8/24</formula>
    </cfRule>
  </conditionalFormatting>
  <conditionalFormatting sqref="B71 B54:B57">
    <cfRule type="expression" dxfId="4090" priority="97">
      <formula>B$9&gt;=20/24</formula>
    </cfRule>
    <cfRule type="expression" dxfId="4089" priority="98">
      <formula>AND(B$9&gt;=14/24,B$9&lt;20/24)</formula>
    </cfRule>
    <cfRule type="expression" dxfId="4088" priority="99">
      <formula>AND(B$9&gt;=8/24,B$9&lt;14/24)</formula>
    </cfRule>
    <cfRule type="expression" dxfId="4087" priority="100">
      <formula>B$9&lt;8/24</formula>
    </cfRule>
  </conditionalFormatting>
  <conditionalFormatting sqref="B53">
    <cfRule type="expression" dxfId="4086" priority="93">
      <formula>B$9&gt;=20/24</formula>
    </cfRule>
    <cfRule type="expression" dxfId="4085" priority="94">
      <formula>AND(B$9&gt;=14/24,B$9&lt;20/24)</formula>
    </cfRule>
    <cfRule type="expression" dxfId="4084" priority="95">
      <formula>AND(B$9&gt;=8/24,B$9&lt;14/24)</formula>
    </cfRule>
    <cfRule type="expression" dxfId="4083" priority="96">
      <formula>B$9&lt;8/24</formula>
    </cfRule>
  </conditionalFormatting>
  <conditionalFormatting sqref="B53:B57">
    <cfRule type="expression" dxfId="4082" priority="92">
      <formula>B53&gt;$AG53</formula>
    </cfRule>
  </conditionalFormatting>
  <conditionalFormatting sqref="B100:B106 B86 B96 B47 B72:B74 B67:B69">
    <cfRule type="expression" dxfId="4081" priority="88">
      <formula>B$9&gt;=20/24</formula>
    </cfRule>
    <cfRule type="expression" dxfId="4080" priority="89">
      <formula>AND(B$9&gt;=14/24,B$9&lt;20/24)</formula>
    </cfRule>
    <cfRule type="expression" dxfId="4079" priority="90">
      <formula>AND(B$9&gt;=8/24,B$9&lt;14/24)</formula>
    </cfRule>
    <cfRule type="expression" dxfId="4078" priority="91">
      <formula>B$9&lt;8/24</formula>
    </cfRule>
  </conditionalFormatting>
  <conditionalFormatting sqref="B47 B67:B69">
    <cfRule type="expression" dxfId="4077" priority="87">
      <formula>B47&gt;$AG47</formula>
    </cfRule>
  </conditionalFormatting>
  <conditionalFormatting sqref="B97 B88">
    <cfRule type="expression" dxfId="4076" priority="83">
      <formula>B$9&gt;=20/24</formula>
    </cfRule>
    <cfRule type="expression" dxfId="4075" priority="84">
      <formula>AND(B$9&gt;=14/24,B$9&lt;20/24)</formula>
    </cfRule>
    <cfRule type="expression" dxfId="4074" priority="85">
      <formula>AND(B$9&gt;=8/24,B$9&lt;14/24)</formula>
    </cfRule>
    <cfRule type="expression" dxfId="4073" priority="86">
      <formula>B$9&lt;8/24</formula>
    </cfRule>
  </conditionalFormatting>
  <conditionalFormatting sqref="B46:AF46">
    <cfRule type="expression" dxfId="4072" priority="79">
      <formula>B$9&gt;=20/24</formula>
    </cfRule>
    <cfRule type="expression" dxfId="4071" priority="80">
      <formula>AND(B$9&gt;=14/24,B$9&lt;20/24)</formula>
    </cfRule>
    <cfRule type="expression" dxfId="4070" priority="81">
      <formula>AND(B$9&gt;=8/24,B$9&lt;14/24)</formula>
    </cfRule>
    <cfRule type="expression" dxfId="4069" priority="82">
      <formula>B$9&lt;8/24</formula>
    </cfRule>
  </conditionalFormatting>
  <conditionalFormatting sqref="B46:AF46">
    <cfRule type="expression" dxfId="4068" priority="78">
      <formula>B46&gt;$AG46</formula>
    </cfRule>
  </conditionalFormatting>
  <conditionalFormatting sqref="B58">
    <cfRule type="expression" dxfId="4067" priority="74">
      <formula>B$9&gt;=20/24</formula>
    </cfRule>
    <cfRule type="expression" dxfId="4066" priority="75">
      <formula>AND(B$9&gt;=14/24,B$9&lt;20/24)</formula>
    </cfRule>
    <cfRule type="expression" dxfId="4065" priority="76">
      <formula>AND(B$9&gt;=8/24,B$9&lt;14/24)</formula>
    </cfRule>
    <cfRule type="expression" dxfId="4064" priority="77">
      <formula>B$9&lt;8/24</formula>
    </cfRule>
  </conditionalFormatting>
  <conditionalFormatting sqref="B58">
    <cfRule type="expression" dxfId="4063" priority="73">
      <formula>B58&gt;$AG58</formula>
    </cfRule>
  </conditionalFormatting>
  <conditionalFormatting sqref="B91:B95">
    <cfRule type="expression" dxfId="4062" priority="69">
      <formula>B$9&gt;=20/24</formula>
    </cfRule>
    <cfRule type="expression" dxfId="4061" priority="70">
      <formula>AND(B$9&gt;=14/24,B$9&lt;20/24)</formula>
    </cfRule>
    <cfRule type="expression" dxfId="4060" priority="71">
      <formula>AND(B$9&gt;=8/24,B$9&lt;14/24)</formula>
    </cfRule>
    <cfRule type="expression" dxfId="4059" priority="72">
      <formula>B$9&lt;8/24</formula>
    </cfRule>
  </conditionalFormatting>
  <conditionalFormatting sqref="B49:B51">
    <cfRule type="expression" dxfId="4058" priority="65">
      <formula>B$9&gt;=20/24</formula>
    </cfRule>
    <cfRule type="expression" dxfId="4057" priority="66">
      <formula>AND(B$9&gt;=14/24,B$9&lt;20/24)</formula>
    </cfRule>
    <cfRule type="expression" dxfId="4056" priority="67">
      <formula>AND(B$9&gt;=8/24,B$9&lt;14/24)</formula>
    </cfRule>
    <cfRule type="expression" dxfId="4055" priority="68">
      <formula>B$9&lt;8/24</formula>
    </cfRule>
  </conditionalFormatting>
  <conditionalFormatting sqref="B49:B51">
    <cfRule type="expression" dxfId="4054" priority="64">
      <formula>B49&gt;$AG49</formula>
    </cfRule>
  </conditionalFormatting>
  <conditionalFormatting sqref="B107">
    <cfRule type="expression" dxfId="4053" priority="60">
      <formula>B$9&gt;=20/24</formula>
    </cfRule>
    <cfRule type="expression" dxfId="4052" priority="61">
      <formula>AND(B$9&gt;=14/24,B$9&lt;20/24)</formula>
    </cfRule>
    <cfRule type="expression" dxfId="4051" priority="62">
      <formula>AND(B$9&gt;=8/24,B$9&lt;14/24)</formula>
    </cfRule>
    <cfRule type="expression" dxfId="4050" priority="63">
      <formula>B$9&lt;8/24</formula>
    </cfRule>
  </conditionalFormatting>
  <conditionalFormatting sqref="B110">
    <cfRule type="expression" dxfId="4049" priority="56">
      <formula>B$9&gt;=20/24</formula>
    </cfRule>
    <cfRule type="expression" dxfId="4048" priority="57">
      <formula>AND(B$9&gt;=14/24,B$9&lt;20/24)</formula>
    </cfRule>
    <cfRule type="expression" dxfId="4047" priority="58">
      <formula>AND(B$9&gt;=8/24,B$9&lt;14/24)</formula>
    </cfRule>
    <cfRule type="expression" dxfId="4046" priority="59">
      <formula>B$9&lt;8/24</formula>
    </cfRule>
  </conditionalFormatting>
  <conditionalFormatting sqref="B83:B85 B75:B76">
    <cfRule type="expression" dxfId="4045" priority="52">
      <formula>B$9&gt;=20/24</formula>
    </cfRule>
    <cfRule type="expression" dxfId="4044" priority="53">
      <formula>AND(B$9&gt;=14/24,B$9&lt;20/24)</formula>
    </cfRule>
    <cfRule type="expression" dxfId="4043" priority="54">
      <formula>AND(B$9&gt;=8/24,B$9&lt;14/24)</formula>
    </cfRule>
    <cfRule type="expression" dxfId="4042" priority="55">
      <formula>B$9&lt;8/24</formula>
    </cfRule>
  </conditionalFormatting>
  <conditionalFormatting sqref="B98 B70 B87 B89">
    <cfRule type="expression" dxfId="4041" priority="48">
      <formula>B$9&gt;=20/24</formula>
    </cfRule>
    <cfRule type="expression" dxfId="4040" priority="49">
      <formula>AND(B$9&gt;=14/24,B$9&lt;20/24)</formula>
    </cfRule>
    <cfRule type="expression" dxfId="4039" priority="50">
      <formula>AND(B$9&gt;=8/24,B$9&lt;14/24)</formula>
    </cfRule>
    <cfRule type="expression" dxfId="4038" priority="51">
      <formula>B$9&lt;8/24</formula>
    </cfRule>
  </conditionalFormatting>
  <conditionalFormatting sqref="B48 B70 B65:B66">
    <cfRule type="expression" dxfId="4037" priority="47">
      <formula>B48&gt;$AG48</formula>
    </cfRule>
  </conditionalFormatting>
  <conditionalFormatting sqref="B82">
    <cfRule type="expression" dxfId="4036" priority="43">
      <formula>B$9&gt;=20/24</formula>
    </cfRule>
    <cfRule type="expression" dxfId="4035" priority="44">
      <formula>AND(B$9&gt;=14/24,B$9&lt;20/24)</formula>
    </cfRule>
    <cfRule type="expression" dxfId="4034" priority="45">
      <formula>AND(B$9&gt;=8/24,B$9&lt;14/24)</formula>
    </cfRule>
    <cfRule type="expression" dxfId="4033" priority="46">
      <formula>B$9&lt;8/24</formula>
    </cfRule>
  </conditionalFormatting>
  <conditionalFormatting sqref="B52">
    <cfRule type="expression" dxfId="4032" priority="39">
      <formula>B$9&gt;=20/24</formula>
    </cfRule>
    <cfRule type="expression" dxfId="4031" priority="40">
      <formula>AND(B$9&gt;=14/24,B$9&lt;20/24)</formula>
    </cfRule>
    <cfRule type="expression" dxfId="4030" priority="41">
      <formula>AND(B$9&gt;=8/24,B$9&lt;14/24)</formula>
    </cfRule>
    <cfRule type="expression" dxfId="4029" priority="42">
      <formula>B$9&lt;8/24</formula>
    </cfRule>
  </conditionalFormatting>
  <conditionalFormatting sqref="B52">
    <cfRule type="expression" dxfId="4028" priority="38">
      <formula>B52&gt;$AG52</formula>
    </cfRule>
  </conditionalFormatting>
  <conditionalFormatting sqref="B59:D64">
    <cfRule type="expression" dxfId="4027" priority="30">
      <formula>B$9&gt;=20/24</formula>
    </cfRule>
    <cfRule type="expression" dxfId="4026" priority="31">
      <formula>AND(B$9&gt;=14/24,B$9&lt;20/24)</formula>
    </cfRule>
    <cfRule type="expression" dxfId="4025" priority="32">
      <formula>AND(B$9&gt;=8/24,B$9&lt;14/24)</formula>
    </cfRule>
    <cfRule type="expression" dxfId="4024" priority="33">
      <formula>B$9&lt;8/24</formula>
    </cfRule>
  </conditionalFormatting>
  <conditionalFormatting sqref="B59:D64">
    <cfRule type="expression" dxfId="4023" priority="29">
      <formula>B59&gt;$AG59</formula>
    </cfRule>
  </conditionalFormatting>
  <conditionalFormatting sqref="B77:B81">
    <cfRule type="expression" dxfId="4022" priority="25">
      <formula>B$9&gt;=20/24</formula>
    </cfRule>
    <cfRule type="expression" dxfId="4021" priority="26">
      <formula>AND(B$9&gt;=14/24,B$9&lt;20/24)</formula>
    </cfRule>
    <cfRule type="expression" dxfId="4020" priority="27">
      <formula>AND(B$9&gt;=8/24,B$9&lt;14/24)</formula>
    </cfRule>
    <cfRule type="expression" dxfId="4019" priority="28">
      <formula>B$9&lt;8/24</formula>
    </cfRule>
  </conditionalFormatting>
  <conditionalFormatting sqref="B11:D11">
    <cfRule type="expression" dxfId="4018" priority="21">
      <formula>B$9&gt;=20/24</formula>
    </cfRule>
    <cfRule type="expression" dxfId="4017" priority="22">
      <formula>AND(B$9&gt;=14/24,B$9&lt;20/24)</formula>
    </cfRule>
    <cfRule type="expression" dxfId="4016" priority="23">
      <formula>AND(B$9&gt;=8/24,B$9&lt;14/24)</formula>
    </cfRule>
    <cfRule type="expression" dxfId="4015" priority="24">
      <formula>B$9&lt;8/24</formula>
    </cfRule>
  </conditionalFormatting>
  <conditionalFormatting sqref="B11:D11">
    <cfRule type="expression" dxfId="4014" priority="20">
      <formula>B11&gt;$AG11</formula>
    </cfRule>
  </conditionalFormatting>
  <conditionalFormatting sqref="B16:D16">
    <cfRule type="expression" dxfId="4013" priority="16">
      <formula>B$9&gt;=20/24</formula>
    </cfRule>
    <cfRule type="expression" dxfId="4012" priority="17">
      <formula>AND(B$9&gt;=14/24,B$9&lt;20/24)</formula>
    </cfRule>
    <cfRule type="expression" dxfId="4011" priority="18">
      <formula>AND(B$9&gt;=8/24,B$9&lt;14/24)</formula>
    </cfRule>
    <cfRule type="expression" dxfId="4010" priority="19">
      <formula>B$9&lt;8/24</formula>
    </cfRule>
  </conditionalFormatting>
  <conditionalFormatting sqref="B16:D16">
    <cfRule type="expression" dxfId="4009" priority="15">
      <formula>B16&gt;$AG16</formula>
    </cfRule>
  </conditionalFormatting>
  <conditionalFormatting sqref="B33:AF33">
    <cfRule type="expression" dxfId="4008" priority="11">
      <formula>B$9&gt;=20/24</formula>
    </cfRule>
    <cfRule type="expression" dxfId="4007" priority="12">
      <formula>AND(B$9&gt;=14/24,B$9&lt;20/24)</formula>
    </cfRule>
    <cfRule type="expression" dxfId="4006" priority="13">
      <formula>AND(B$9&gt;=8/24,B$9&lt;14/24)</formula>
    </cfRule>
    <cfRule type="expression" dxfId="4005" priority="14">
      <formula>B$9&lt;8/24</formula>
    </cfRule>
  </conditionalFormatting>
  <conditionalFormatting sqref="B33:AF33">
    <cfRule type="expression" dxfId="4004" priority="10">
      <formula>B33&gt;$AG33</formula>
    </cfRule>
  </conditionalFormatting>
  <conditionalFormatting sqref="B44:AF44">
    <cfRule type="expression" dxfId="4003" priority="6">
      <formula>B$9&gt;=20/24</formula>
    </cfRule>
    <cfRule type="expression" dxfId="4002" priority="7">
      <formula>AND(B$9&gt;=14/24,B$9&lt;20/24)</formula>
    </cfRule>
    <cfRule type="expression" dxfId="4001" priority="8">
      <formula>AND(B$9&gt;=8/24,B$9&lt;14/24)</formula>
    </cfRule>
    <cfRule type="expression" dxfId="4000" priority="9">
      <formula>B$9&lt;8/24</formula>
    </cfRule>
  </conditionalFormatting>
  <conditionalFormatting sqref="B44:AF44">
    <cfRule type="expression" dxfId="3999" priority="5">
      <formula>B44&gt;$AG44</formula>
    </cfRule>
  </conditionalFormatting>
  <conditionalFormatting sqref="B117">
    <cfRule type="expression" dxfId="3998" priority="1">
      <formula>B$9&gt;=20/24</formula>
    </cfRule>
    <cfRule type="expression" dxfId="3997" priority="2">
      <formula>AND(B$9&gt;=14/24,B$9&lt;20/24)</formula>
    </cfRule>
    <cfRule type="expression" dxfId="3996" priority="3">
      <formula>AND(B$9&gt;=8/24,B$9&lt;14/24)</formula>
    </cfRule>
    <cfRule type="expression" dxfId="3995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0" id="{5AFD47EF-B74B-473C-B9A3-6AF6B1CF93B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1" id="{FFAF9C06-7EA7-4F37-ACE6-A273C54530F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2" id="{E875F68B-7ABA-4437-B938-C55F7AAEE63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3" id="{D65FC335-12D1-47E4-8C31-1710526BBA6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34" id="{1C2242BF-EC25-4096-9D99-1A58811EF6D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" id="{4B3CB013-CF97-4B51-99FF-E286BDB168C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8BDCD927-FE8E-42C5-933E-B7BC2696269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48899C3F-8D36-4366-9AFE-201717D6FFC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8"/>
  <sheetViews>
    <sheetView zoomScaleNormal="100" workbookViewId="0">
      <pane ySplit="10" topLeftCell="A79" activePane="bottomLeft" state="frozen"/>
      <selection activeCell="Z85" sqref="Z85"/>
      <selection pane="bottomLeft" activeCell="X14" sqref="X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2079/11/24</v>
      </c>
      <c r="C4" s="208"/>
      <c r="D4" s="208"/>
      <c r="E4" s="209" t="str">
        <f ca="1">"2079/"&amp;"11/"&amp;INT(MID(CELL("filename",G6),FIND("]",CELL("filename",G6))+1,200))</f>
        <v>2079/11/24</v>
      </c>
      <c r="F4" s="209"/>
      <c r="G4" s="209"/>
      <c r="H4" s="209" t="str">
        <f ca="1">TEXT(E4,"dddd")</f>
        <v>Friday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207</v>
      </c>
      <c r="C5" s="30">
        <f t="shared" si="0"/>
        <v>185</v>
      </c>
      <c r="D5" s="30">
        <f t="shared" si="0"/>
        <v>208.9</v>
      </c>
      <c r="E5" s="30">
        <f t="shared" si="0"/>
        <v>218.2</v>
      </c>
      <c r="F5" s="30">
        <f t="shared" si="0"/>
        <v>247.5</v>
      </c>
      <c r="G5" s="30">
        <f t="shared" si="0"/>
        <v>272.60000000000002</v>
      </c>
      <c r="H5" s="30">
        <f t="shared" si="0"/>
        <v>295</v>
      </c>
      <c r="I5" s="30">
        <f t="shared" si="0"/>
        <v>301.89999999999998</v>
      </c>
      <c r="J5" s="30">
        <f t="shared" si="0"/>
        <v>280.5</v>
      </c>
      <c r="K5" s="30">
        <f t="shared" si="0"/>
        <v>306.5</v>
      </c>
      <c r="L5" s="30">
        <f t="shared" si="0"/>
        <v>313.3</v>
      </c>
      <c r="M5" s="30">
        <f t="shared" si="0"/>
        <v>341.1</v>
      </c>
      <c r="N5" s="30">
        <f t="shared" si="0"/>
        <v>351</v>
      </c>
      <c r="O5" s="30">
        <f t="shared" si="0"/>
        <v>367.7</v>
      </c>
      <c r="P5" s="30">
        <f t="shared" si="0"/>
        <v>362.2</v>
      </c>
      <c r="Q5" s="30">
        <f t="shared" si="0"/>
        <v>366.9</v>
      </c>
      <c r="R5" s="30">
        <f t="shared" si="0"/>
        <v>377</v>
      </c>
      <c r="S5" s="30">
        <f t="shared" si="0"/>
        <v>377</v>
      </c>
      <c r="T5" s="30">
        <f t="shared" si="0"/>
        <v>376</v>
      </c>
      <c r="U5" s="30">
        <f t="shared" si="0"/>
        <v>370.9</v>
      </c>
      <c r="V5" s="30">
        <f t="shared" si="0"/>
        <v>448</v>
      </c>
      <c r="W5" s="30">
        <f t="shared" si="0"/>
        <v>446</v>
      </c>
      <c r="X5" s="30">
        <f t="shared" si="0"/>
        <v>467.9</v>
      </c>
      <c r="Y5" s="30">
        <f t="shared" si="0"/>
        <v>440</v>
      </c>
      <c r="Z5" s="30">
        <f t="shared" si="0"/>
        <v>430.2</v>
      </c>
      <c r="AA5" s="30">
        <f t="shared" si="0"/>
        <v>342</v>
      </c>
      <c r="AB5" s="30">
        <f t="shared" si="0"/>
        <v>326.5</v>
      </c>
      <c r="AC5" s="30">
        <f t="shared" si="0"/>
        <v>316.89999999999998</v>
      </c>
      <c r="AD5" s="30">
        <f t="shared" si="0"/>
        <v>325.60000000000002</v>
      </c>
      <c r="AE5" s="30">
        <f t="shared" si="0"/>
        <v>315.8</v>
      </c>
      <c r="AF5" s="30">
        <f>B82</f>
        <v>243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1130MW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Load=693</v>
      </c>
      <c r="B7" s="35">
        <f t="shared" ref="B7:AF7" si="1">B89</f>
        <v>793.74</v>
      </c>
      <c r="C7" s="35">
        <f t="shared" si="1"/>
        <v>740.14</v>
      </c>
      <c r="D7" s="35">
        <f t="shared" si="1"/>
        <v>693.84</v>
      </c>
      <c r="E7" s="35">
        <f t="shared" si="1"/>
        <v>710.14</v>
      </c>
      <c r="F7" s="35">
        <f t="shared" si="1"/>
        <v>693.04</v>
      </c>
      <c r="G7" s="35">
        <f t="shared" si="1"/>
        <v>722.34</v>
      </c>
      <c r="H7" s="35">
        <f t="shared" si="1"/>
        <v>787.84</v>
      </c>
      <c r="I7" s="35">
        <f t="shared" si="1"/>
        <v>848.34</v>
      </c>
      <c r="J7" s="35">
        <f t="shared" si="1"/>
        <v>911.34</v>
      </c>
      <c r="K7" s="35">
        <f t="shared" si="1"/>
        <v>987.83999999999992</v>
      </c>
      <c r="L7" s="35">
        <f t="shared" si="1"/>
        <v>1062.44</v>
      </c>
      <c r="M7" s="35">
        <f t="shared" si="1"/>
        <v>1105.24</v>
      </c>
      <c r="N7" s="35">
        <f>N89</f>
        <v>1130.04</v>
      </c>
      <c r="O7" s="35">
        <f t="shared" si="1"/>
        <v>1112.94</v>
      </c>
      <c r="P7" s="35">
        <f t="shared" si="1"/>
        <v>1074.24</v>
      </c>
      <c r="Q7" s="35">
        <f t="shared" si="1"/>
        <v>1033.54</v>
      </c>
      <c r="R7" s="35">
        <f t="shared" si="1"/>
        <v>993.33999999999992</v>
      </c>
      <c r="S7" s="35">
        <f t="shared" si="1"/>
        <v>1006.4399999999999</v>
      </c>
      <c r="T7" s="35">
        <f t="shared" si="1"/>
        <v>986.43999999999994</v>
      </c>
      <c r="U7" s="35">
        <f t="shared" si="1"/>
        <v>1010.4399999999999</v>
      </c>
      <c r="V7" s="35">
        <f t="shared" si="1"/>
        <v>1020.54</v>
      </c>
      <c r="W7" s="35">
        <f t="shared" si="1"/>
        <v>1024.6399999999999</v>
      </c>
      <c r="X7" s="35">
        <f t="shared" si="1"/>
        <v>1086.24</v>
      </c>
      <c r="Y7" s="35">
        <f t="shared" si="1"/>
        <v>1259.1400000000001</v>
      </c>
      <c r="Z7" s="35">
        <f t="shared" si="1"/>
        <v>1231.2400000000002</v>
      </c>
      <c r="AA7" s="35">
        <f t="shared" si="1"/>
        <v>1178.1399999999999</v>
      </c>
      <c r="AB7" s="35">
        <f t="shared" si="1"/>
        <v>1052.24</v>
      </c>
      <c r="AC7" s="35">
        <f t="shared" si="1"/>
        <v>992.74</v>
      </c>
      <c r="AD7" s="35">
        <f t="shared" si="1"/>
        <v>987.93999999999994</v>
      </c>
      <c r="AE7" s="35">
        <f t="shared" si="1"/>
        <v>897.64</v>
      </c>
      <c r="AF7" s="35">
        <f t="shared" si="1"/>
        <v>815.24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25.3</v>
      </c>
      <c r="Q11" s="45">
        <v>25.3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4" si="2">MAX(B11:AF11)</f>
        <v>25.3</v>
      </c>
      <c r="AI11" s="48">
        <f t="shared" ref="AI11:AI7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13.8</v>
      </c>
      <c r="C12" s="45">
        <v>13.8</v>
      </c>
      <c r="D12" s="45">
        <v>13.8</v>
      </c>
      <c r="E12" s="45">
        <v>14</v>
      </c>
      <c r="F12" s="45">
        <v>15.1</v>
      </c>
      <c r="G12" s="45">
        <v>15.1</v>
      </c>
      <c r="H12" s="45">
        <v>14.3</v>
      </c>
      <c r="I12" s="45">
        <v>14.3</v>
      </c>
      <c r="J12" s="45">
        <v>14.3</v>
      </c>
      <c r="K12" s="45">
        <v>14.3</v>
      </c>
      <c r="L12" s="45">
        <v>14.3</v>
      </c>
      <c r="M12" s="45">
        <v>14.3</v>
      </c>
      <c r="N12" s="45">
        <v>14.3</v>
      </c>
      <c r="O12" s="45">
        <v>14.3</v>
      </c>
      <c r="P12" s="45">
        <v>16.8</v>
      </c>
      <c r="Q12" s="45">
        <v>16.8</v>
      </c>
      <c r="R12" s="45">
        <v>14.2</v>
      </c>
      <c r="S12" s="45">
        <v>14.2</v>
      </c>
      <c r="T12" s="45">
        <v>14.2</v>
      </c>
      <c r="U12" s="45">
        <v>14.2</v>
      </c>
      <c r="V12" s="45">
        <v>14.2</v>
      </c>
      <c r="W12" s="45">
        <v>14.2</v>
      </c>
      <c r="X12" s="45">
        <v>14.2</v>
      </c>
      <c r="Y12" s="45">
        <v>12.4</v>
      </c>
      <c r="Z12" s="45">
        <v>12.4</v>
      </c>
      <c r="AA12" s="45">
        <v>12.4</v>
      </c>
      <c r="AB12" s="45">
        <v>12.4</v>
      </c>
      <c r="AC12" s="45">
        <v>12.4</v>
      </c>
      <c r="AD12" s="45">
        <v>12.4</v>
      </c>
      <c r="AE12" s="45">
        <v>12.4</v>
      </c>
      <c r="AF12" s="45">
        <v>12.4</v>
      </c>
      <c r="AG12" s="46">
        <v>52.4</v>
      </c>
      <c r="AH12" s="47">
        <f t="shared" si="2"/>
        <v>16.8</v>
      </c>
      <c r="AI12" s="48">
        <f t="shared" si="3"/>
        <v>12.4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25.6</v>
      </c>
      <c r="C13" s="45">
        <v>25.6</v>
      </c>
      <c r="D13" s="45">
        <v>25.6</v>
      </c>
      <c r="E13" s="45">
        <v>25.3</v>
      </c>
      <c r="F13" s="45">
        <v>25.3</v>
      </c>
      <c r="G13" s="45">
        <v>25.3</v>
      </c>
      <c r="H13" s="45">
        <v>25.4</v>
      </c>
      <c r="I13" s="45">
        <v>25.4</v>
      </c>
      <c r="J13" s="45">
        <v>25.4</v>
      </c>
      <c r="K13" s="45">
        <v>25.4</v>
      </c>
      <c r="L13" s="45">
        <v>25.4</v>
      </c>
      <c r="M13" s="45">
        <v>25.4</v>
      </c>
      <c r="N13" s="45">
        <v>25.4</v>
      </c>
      <c r="O13" s="45">
        <v>25.4</v>
      </c>
      <c r="P13" s="45">
        <v>25.4</v>
      </c>
      <c r="Q13" s="45">
        <v>25.4</v>
      </c>
      <c r="R13" s="45">
        <v>38.4</v>
      </c>
      <c r="S13" s="45">
        <v>38.4</v>
      </c>
      <c r="T13" s="45">
        <v>38.4</v>
      </c>
      <c r="U13" s="45">
        <v>38.4</v>
      </c>
      <c r="V13" s="45">
        <v>38.4</v>
      </c>
      <c r="W13" s="45">
        <v>38.4</v>
      </c>
      <c r="X13" s="45">
        <v>38.4</v>
      </c>
      <c r="Y13" s="45">
        <v>31.3</v>
      </c>
      <c r="Z13" s="45">
        <v>31.3</v>
      </c>
      <c r="AA13" s="45">
        <v>31.3</v>
      </c>
      <c r="AB13" s="45">
        <v>31.3</v>
      </c>
      <c r="AC13" s="45">
        <v>31.3</v>
      </c>
      <c r="AD13" s="45">
        <v>31.3</v>
      </c>
      <c r="AE13" s="45">
        <v>31.3</v>
      </c>
      <c r="AF13" s="45">
        <v>31.3</v>
      </c>
      <c r="AG13" s="50">
        <v>50</v>
      </c>
      <c r="AH13" s="47">
        <f t="shared" si="2"/>
        <v>38.4</v>
      </c>
      <c r="AI13" s="48">
        <f t="shared" si="3"/>
        <v>25.3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14.2</v>
      </c>
      <c r="C14" s="45">
        <v>14.2</v>
      </c>
      <c r="D14" s="45">
        <v>14.2</v>
      </c>
      <c r="E14" s="45">
        <v>16</v>
      </c>
      <c r="F14" s="45">
        <v>16</v>
      </c>
      <c r="G14" s="45">
        <v>16</v>
      </c>
      <c r="H14" s="45">
        <v>15.5</v>
      </c>
      <c r="I14" s="45">
        <v>15.8</v>
      </c>
      <c r="J14" s="45">
        <v>15.8</v>
      </c>
      <c r="K14" s="45">
        <v>15.8</v>
      </c>
      <c r="L14" s="45">
        <v>15.8</v>
      </c>
      <c r="M14" s="45">
        <v>15.8</v>
      </c>
      <c r="N14" s="45">
        <v>15.8</v>
      </c>
      <c r="O14" s="45">
        <v>15.8</v>
      </c>
      <c r="P14" s="45">
        <v>15</v>
      </c>
      <c r="Q14" s="45">
        <v>15</v>
      </c>
      <c r="R14" s="45">
        <v>13.2</v>
      </c>
      <c r="S14" s="45">
        <v>13.2</v>
      </c>
      <c r="T14" s="45">
        <v>13.2</v>
      </c>
      <c r="U14" s="45">
        <v>13.2</v>
      </c>
      <c r="V14" s="45">
        <v>13.2</v>
      </c>
      <c r="W14" s="45">
        <v>13.2</v>
      </c>
      <c r="X14" s="45">
        <v>13.2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50">
        <v>45</v>
      </c>
      <c r="AH14" s="47">
        <f t="shared" si="2"/>
        <v>16</v>
      </c>
      <c r="AI14" s="48">
        <f t="shared" si="3"/>
        <v>13.2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8</v>
      </c>
      <c r="M15" s="45">
        <v>8</v>
      </c>
      <c r="N15" s="45">
        <v>8</v>
      </c>
      <c r="O15" s="45">
        <v>8</v>
      </c>
      <c r="P15" s="45">
        <v>8.5</v>
      </c>
      <c r="Q15" s="45">
        <v>8.5</v>
      </c>
      <c r="R15" s="45">
        <v>8.5</v>
      </c>
      <c r="S15" s="45">
        <v>8.5</v>
      </c>
      <c r="T15" s="45">
        <v>8.5</v>
      </c>
      <c r="U15" s="45">
        <v>8.5</v>
      </c>
      <c r="V15" s="45">
        <v>8.5</v>
      </c>
      <c r="W15" s="45">
        <v>8.5</v>
      </c>
      <c r="X15" s="45">
        <v>8.5</v>
      </c>
      <c r="Y15" s="45">
        <v>8.5</v>
      </c>
      <c r="Z15" s="45">
        <v>8.5</v>
      </c>
      <c r="AA15" s="45">
        <v>8.5</v>
      </c>
      <c r="AB15" s="45">
        <v>8.5</v>
      </c>
      <c r="AC15" s="45">
        <v>8.5</v>
      </c>
      <c r="AD15" s="45">
        <v>8.5</v>
      </c>
      <c r="AE15" s="45">
        <v>8.5</v>
      </c>
      <c r="AF15" s="45">
        <v>8.5</v>
      </c>
      <c r="AG15" s="50">
        <v>42</v>
      </c>
      <c r="AH15" s="47">
        <f t="shared" si="2"/>
        <v>8.5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12.6</v>
      </c>
      <c r="C17" s="45">
        <v>12.6</v>
      </c>
      <c r="D17" s="45">
        <v>12.6</v>
      </c>
      <c r="E17" s="45">
        <v>12.6</v>
      </c>
      <c r="F17" s="45">
        <v>12.6</v>
      </c>
      <c r="G17" s="45">
        <v>12.6</v>
      </c>
      <c r="H17" s="45">
        <v>12.6</v>
      </c>
      <c r="I17" s="45">
        <v>12.6</v>
      </c>
      <c r="J17" s="45">
        <v>12.6</v>
      </c>
      <c r="K17" s="45">
        <v>12.6</v>
      </c>
      <c r="L17" s="45">
        <v>12.6</v>
      </c>
      <c r="M17" s="45">
        <v>12.6</v>
      </c>
      <c r="N17" s="45">
        <v>12.6</v>
      </c>
      <c r="O17" s="45">
        <v>12.6</v>
      </c>
      <c r="P17" s="45">
        <v>12.6</v>
      </c>
      <c r="Q17" s="45">
        <v>12.6</v>
      </c>
      <c r="R17" s="45">
        <v>12.6</v>
      </c>
      <c r="S17" s="45">
        <v>12.6</v>
      </c>
      <c r="T17" s="45">
        <v>12.6</v>
      </c>
      <c r="U17" s="45">
        <v>12.6</v>
      </c>
      <c r="V17" s="45">
        <v>12.6</v>
      </c>
      <c r="W17" s="45">
        <v>12.6</v>
      </c>
      <c r="X17" s="45">
        <v>12.6</v>
      </c>
      <c r="Y17" s="45">
        <v>12.6</v>
      </c>
      <c r="Z17" s="45">
        <v>12.6</v>
      </c>
      <c r="AA17" s="45">
        <v>12.6</v>
      </c>
      <c r="AB17" s="45">
        <v>12.6</v>
      </c>
      <c r="AC17" s="45">
        <v>12.6</v>
      </c>
      <c r="AD17" s="45">
        <v>12.6</v>
      </c>
      <c r="AE17" s="45">
        <v>12.6</v>
      </c>
      <c r="AF17" s="45">
        <v>12.6</v>
      </c>
      <c r="AG17" s="50">
        <v>36</v>
      </c>
      <c r="AH17" s="47">
        <f t="shared" si="2"/>
        <v>12.6</v>
      </c>
      <c r="AI17" s="48">
        <f t="shared" si="3"/>
        <v>12.6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7.2</v>
      </c>
      <c r="C18" s="45">
        <v>7.2</v>
      </c>
      <c r="D18" s="45">
        <v>7.2</v>
      </c>
      <c r="E18" s="45">
        <v>6.9</v>
      </c>
      <c r="F18" s="45">
        <v>6.9</v>
      </c>
      <c r="G18" s="45">
        <v>6.9</v>
      </c>
      <c r="H18" s="45">
        <v>6.9</v>
      </c>
      <c r="I18" s="45">
        <v>7.1</v>
      </c>
      <c r="J18" s="45">
        <v>7.1</v>
      </c>
      <c r="K18" s="45">
        <v>7.1</v>
      </c>
      <c r="L18" s="45">
        <v>7.1</v>
      </c>
      <c r="M18" s="45">
        <v>7.1</v>
      </c>
      <c r="N18" s="45">
        <v>7.1</v>
      </c>
      <c r="O18" s="45">
        <v>7.1</v>
      </c>
      <c r="P18" s="45">
        <v>6.9</v>
      </c>
      <c r="Q18" s="45">
        <v>6.9</v>
      </c>
      <c r="R18" s="45">
        <v>6.9</v>
      </c>
      <c r="S18" s="45">
        <v>6.9</v>
      </c>
      <c r="T18" s="45">
        <v>6.9</v>
      </c>
      <c r="U18" s="45">
        <v>6.9</v>
      </c>
      <c r="V18" s="45">
        <v>6.9</v>
      </c>
      <c r="W18" s="45">
        <v>6.9</v>
      </c>
      <c r="X18" s="45">
        <v>6.9</v>
      </c>
      <c r="Y18" s="45">
        <v>6.9</v>
      </c>
      <c r="Z18" s="45">
        <v>6.9</v>
      </c>
      <c r="AA18" s="45">
        <v>6.9</v>
      </c>
      <c r="AB18" s="45">
        <v>6.9</v>
      </c>
      <c r="AC18" s="45">
        <v>6.9</v>
      </c>
      <c r="AD18" s="45">
        <v>6.9</v>
      </c>
      <c r="AE18" s="45">
        <v>6.9</v>
      </c>
      <c r="AF18" s="45">
        <v>6.9</v>
      </c>
      <c r="AG18" s="51">
        <v>30</v>
      </c>
      <c r="AH18" s="47">
        <f t="shared" si="2"/>
        <v>7.2</v>
      </c>
      <c r="AI18" s="48">
        <f t="shared" si="3"/>
        <v>6.9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6.7</v>
      </c>
      <c r="C19" s="45">
        <v>6.7</v>
      </c>
      <c r="D19" s="45">
        <v>6.7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6.7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51">
        <v>30</v>
      </c>
      <c r="AH21" s="47">
        <f t="shared" si="2"/>
        <v>13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9.1</v>
      </c>
      <c r="C22" s="45">
        <v>9.1</v>
      </c>
      <c r="D22" s="45">
        <v>9.1</v>
      </c>
      <c r="E22" s="45">
        <v>8.1999999999999993</v>
      </c>
      <c r="F22" s="45">
        <v>8.1999999999999993</v>
      </c>
      <c r="G22" s="45">
        <v>8.1999999999999993</v>
      </c>
      <c r="H22" s="45">
        <v>7.8</v>
      </c>
      <c r="I22" s="45">
        <v>7.7</v>
      </c>
      <c r="J22" s="45">
        <v>7.7</v>
      </c>
      <c r="K22" s="45">
        <v>7.7</v>
      </c>
      <c r="L22" s="45">
        <v>7.7</v>
      </c>
      <c r="M22" s="45">
        <v>7.7</v>
      </c>
      <c r="N22" s="45">
        <v>7.7</v>
      </c>
      <c r="O22" s="45">
        <v>7.7</v>
      </c>
      <c r="P22" s="45">
        <v>7.7</v>
      </c>
      <c r="Q22" s="45">
        <v>7.7</v>
      </c>
      <c r="R22" s="45">
        <v>7.7</v>
      </c>
      <c r="S22" s="45">
        <v>7.7</v>
      </c>
      <c r="T22" s="45">
        <v>7.7</v>
      </c>
      <c r="U22" s="45">
        <v>7.7</v>
      </c>
      <c r="V22" s="45">
        <v>7.7</v>
      </c>
      <c r="W22" s="45">
        <v>7.7</v>
      </c>
      <c r="X22" s="45">
        <v>7.7</v>
      </c>
      <c r="Y22" s="45">
        <v>7.7</v>
      </c>
      <c r="Z22" s="45">
        <v>7.7</v>
      </c>
      <c r="AA22" s="45">
        <v>7.7</v>
      </c>
      <c r="AB22" s="45">
        <v>7.7</v>
      </c>
      <c r="AC22" s="45">
        <v>7.7</v>
      </c>
      <c r="AD22" s="45">
        <v>7.7</v>
      </c>
      <c r="AE22" s="45">
        <v>7.7</v>
      </c>
      <c r="AF22" s="45">
        <v>7.7</v>
      </c>
      <c r="AG22" s="50">
        <v>25</v>
      </c>
      <c r="AH22" s="47">
        <f t="shared" si="2"/>
        <v>9.1</v>
      </c>
      <c r="AI22" s="48">
        <f t="shared" si="3"/>
        <v>7.7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6.3</v>
      </c>
      <c r="C26" s="45">
        <v>6.3</v>
      </c>
      <c r="D26" s="45">
        <v>6.3</v>
      </c>
      <c r="E26" s="45">
        <v>6.3</v>
      </c>
      <c r="F26" s="45">
        <v>6.3</v>
      </c>
      <c r="G26" s="45">
        <v>6.3</v>
      </c>
      <c r="H26" s="45">
        <v>6.3</v>
      </c>
      <c r="I26" s="45">
        <v>6.3</v>
      </c>
      <c r="J26" s="45">
        <v>6.3</v>
      </c>
      <c r="K26" s="45">
        <v>6.3</v>
      </c>
      <c r="L26" s="45">
        <v>6.3</v>
      </c>
      <c r="M26" s="45">
        <v>6.3</v>
      </c>
      <c r="N26" s="45">
        <v>6.3</v>
      </c>
      <c r="O26" s="45">
        <v>6.3</v>
      </c>
      <c r="P26" s="45">
        <v>6.3</v>
      </c>
      <c r="Q26" s="45">
        <v>6.3</v>
      </c>
      <c r="R26" s="45">
        <v>6.3</v>
      </c>
      <c r="S26" s="45">
        <v>6.3</v>
      </c>
      <c r="T26" s="45">
        <v>6.3</v>
      </c>
      <c r="U26" s="45">
        <v>6.3</v>
      </c>
      <c r="V26" s="45">
        <v>6.3</v>
      </c>
      <c r="W26" s="45">
        <v>6.3</v>
      </c>
      <c r="X26" s="45">
        <v>6.3</v>
      </c>
      <c r="Y26" s="45">
        <v>6.3</v>
      </c>
      <c r="Z26" s="45">
        <v>6.3</v>
      </c>
      <c r="AA26" s="45">
        <v>6.3</v>
      </c>
      <c r="AB26" s="45">
        <v>6.3</v>
      </c>
      <c r="AC26" s="45">
        <v>6.3</v>
      </c>
      <c r="AD26" s="45">
        <v>6.3</v>
      </c>
      <c r="AE26" s="45">
        <v>6.3</v>
      </c>
      <c r="AF26" s="45">
        <v>6.3</v>
      </c>
      <c r="AG26" s="50">
        <v>23.5</v>
      </c>
      <c r="AH26" s="47">
        <f t="shared" si="2"/>
        <v>6.3</v>
      </c>
      <c r="AI26" s="48">
        <f t="shared" si="3"/>
        <v>6.3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357.5</v>
      </c>
      <c r="C48" s="60">
        <f t="shared" si="4"/>
        <v>357.5</v>
      </c>
      <c r="D48" s="60">
        <f t="shared" si="4"/>
        <v>357.5</v>
      </c>
      <c r="E48" s="60">
        <f t="shared" si="4"/>
        <v>357.9</v>
      </c>
      <c r="F48" s="60">
        <f t="shared" si="4"/>
        <v>359</v>
      </c>
      <c r="G48" s="60">
        <f t="shared" si="4"/>
        <v>359</v>
      </c>
      <c r="H48" s="60">
        <f t="shared" si="4"/>
        <v>357.4</v>
      </c>
      <c r="I48" s="60">
        <f t="shared" si="4"/>
        <v>357.8</v>
      </c>
      <c r="J48" s="60">
        <f t="shared" si="4"/>
        <v>357.8</v>
      </c>
      <c r="K48" s="60">
        <f t="shared" si="4"/>
        <v>357.8</v>
      </c>
      <c r="L48" s="60">
        <f t="shared" si="4"/>
        <v>357.8</v>
      </c>
      <c r="M48" s="60">
        <f t="shared" si="4"/>
        <v>357.8</v>
      </c>
      <c r="N48" s="60">
        <f t="shared" si="4"/>
        <v>357.8</v>
      </c>
      <c r="O48" s="60">
        <f t="shared" si="4"/>
        <v>357.8</v>
      </c>
      <c r="P48" s="60">
        <f t="shared" si="4"/>
        <v>359.8</v>
      </c>
      <c r="Q48" s="60">
        <f t="shared" si="4"/>
        <v>359.8</v>
      </c>
      <c r="R48" s="60">
        <f t="shared" si="4"/>
        <v>368.4</v>
      </c>
      <c r="S48" s="60">
        <f t="shared" si="4"/>
        <v>368.4</v>
      </c>
      <c r="T48" s="60">
        <f t="shared" si="4"/>
        <v>368.4</v>
      </c>
      <c r="U48" s="60">
        <f t="shared" si="4"/>
        <v>368.4</v>
      </c>
      <c r="V48" s="60">
        <f t="shared" ref="V48" si="5">SUM(V12:V46)</f>
        <v>368.4</v>
      </c>
      <c r="W48" s="60">
        <f t="shared" si="4"/>
        <v>368.4</v>
      </c>
      <c r="X48" s="60">
        <f t="shared" si="4"/>
        <v>368.4</v>
      </c>
      <c r="Y48" s="60">
        <f t="shared" si="4"/>
        <v>361.7</v>
      </c>
      <c r="Z48" s="60">
        <f t="shared" si="4"/>
        <v>361.7</v>
      </c>
      <c r="AA48" s="60">
        <f t="shared" si="4"/>
        <v>361.7</v>
      </c>
      <c r="AB48" s="60">
        <f t="shared" si="4"/>
        <v>361.7</v>
      </c>
      <c r="AC48" s="60">
        <f t="shared" si="4"/>
        <v>361.7</v>
      </c>
      <c r="AD48" s="60">
        <f t="shared" si="4"/>
        <v>361.7</v>
      </c>
      <c r="AE48" s="60">
        <f t="shared" si="4"/>
        <v>361.7</v>
      </c>
      <c r="AF48" s="60">
        <f t="shared" si="4"/>
        <v>361.7</v>
      </c>
      <c r="AG48" s="61">
        <f t="shared" si="4"/>
        <v>875.68</v>
      </c>
      <c r="AH48" s="47">
        <f t="shared" si="2"/>
        <v>368.4</v>
      </c>
      <c r="AI48" s="48">
        <f t="shared" si="3"/>
        <v>357.4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20</v>
      </c>
      <c r="J49" s="45">
        <v>76</v>
      </c>
      <c r="K49" s="45">
        <v>90</v>
      </c>
      <c r="L49" s="45">
        <v>115</v>
      </c>
      <c r="M49" s="45">
        <v>175</v>
      </c>
      <c r="N49" s="63">
        <v>182</v>
      </c>
      <c r="O49" s="63">
        <v>165</v>
      </c>
      <c r="P49" s="45">
        <v>120</v>
      </c>
      <c r="Q49" s="45">
        <v>100</v>
      </c>
      <c r="R49" s="45">
        <v>80</v>
      </c>
      <c r="S49" s="45">
        <v>70</v>
      </c>
      <c r="T49" s="45">
        <v>50</v>
      </c>
      <c r="U49" s="45">
        <v>75</v>
      </c>
      <c r="V49" s="45">
        <v>90</v>
      </c>
      <c r="W49" s="45">
        <v>20</v>
      </c>
      <c r="X49" s="45">
        <v>50</v>
      </c>
      <c r="Y49" s="45">
        <v>120</v>
      </c>
      <c r="Z49" s="45">
        <v>120</v>
      </c>
      <c r="AA49" s="45">
        <v>100</v>
      </c>
      <c r="AB49" s="45">
        <v>100</v>
      </c>
      <c r="AC49" s="45">
        <v>60</v>
      </c>
      <c r="AD49" s="45">
        <v>60</v>
      </c>
      <c r="AE49" s="45">
        <v>20</v>
      </c>
      <c r="AF49" s="45">
        <v>0</v>
      </c>
      <c r="AG49" s="51">
        <v>456</v>
      </c>
      <c r="AH49" s="47">
        <f t="shared" si="2"/>
        <v>182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27.1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27.1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10.6</v>
      </c>
      <c r="C51" s="67">
        <v>10.6</v>
      </c>
      <c r="D51" s="67">
        <v>10.6</v>
      </c>
      <c r="E51" s="67">
        <v>10</v>
      </c>
      <c r="F51" s="67">
        <v>10</v>
      </c>
      <c r="G51" s="67">
        <v>10</v>
      </c>
      <c r="H51" s="67">
        <v>10</v>
      </c>
      <c r="I51" s="67">
        <v>10</v>
      </c>
      <c r="J51" s="67">
        <v>10</v>
      </c>
      <c r="K51" s="67">
        <v>10</v>
      </c>
      <c r="L51" s="67">
        <v>10</v>
      </c>
      <c r="M51" s="67">
        <v>10</v>
      </c>
      <c r="N51" s="67">
        <v>10</v>
      </c>
      <c r="O51" s="67">
        <v>10</v>
      </c>
      <c r="P51" s="67">
        <v>10</v>
      </c>
      <c r="Q51" s="67">
        <v>10</v>
      </c>
      <c r="R51" s="67">
        <v>10</v>
      </c>
      <c r="S51" s="67">
        <v>10</v>
      </c>
      <c r="T51" s="67">
        <v>10</v>
      </c>
      <c r="U51" s="67">
        <v>10</v>
      </c>
      <c r="V51" s="67">
        <v>10</v>
      </c>
      <c r="W51" s="67">
        <v>10</v>
      </c>
      <c r="X51" s="67">
        <v>10</v>
      </c>
      <c r="Y51" s="67">
        <v>10</v>
      </c>
      <c r="Z51" s="67">
        <v>10</v>
      </c>
      <c r="AA51" s="67">
        <v>10</v>
      </c>
      <c r="AB51" s="67">
        <v>10</v>
      </c>
      <c r="AC51" s="67">
        <v>10</v>
      </c>
      <c r="AD51" s="67">
        <v>10</v>
      </c>
      <c r="AE51" s="67">
        <v>10</v>
      </c>
      <c r="AF51" s="67">
        <v>10</v>
      </c>
      <c r="AG51" s="68">
        <v>22.1</v>
      </c>
      <c r="AH51" s="47">
        <f t="shared" si="2"/>
        <v>10.6</v>
      </c>
      <c r="AI51" s="48">
        <f t="shared" si="3"/>
        <v>10</v>
      </c>
      <c r="AK51" s="49"/>
    </row>
    <row r="52" spans="1:41" ht="15.75" thickBot="1" x14ac:dyDescent="0.3">
      <c r="A52" s="69" t="s">
        <v>56</v>
      </c>
      <c r="B52" s="60">
        <f t="shared" ref="B52:AG52" si="6">SUM(B49:B51)</f>
        <v>37.6</v>
      </c>
      <c r="C52" s="60">
        <f t="shared" si="6"/>
        <v>37.6</v>
      </c>
      <c r="D52" s="60">
        <f t="shared" si="6"/>
        <v>37.6</v>
      </c>
      <c r="E52" s="60">
        <f t="shared" si="6"/>
        <v>37</v>
      </c>
      <c r="F52" s="60">
        <f t="shared" si="6"/>
        <v>37</v>
      </c>
      <c r="G52" s="60">
        <f t="shared" si="6"/>
        <v>37</v>
      </c>
      <c r="H52" s="60">
        <f t="shared" si="6"/>
        <v>37</v>
      </c>
      <c r="I52" s="60">
        <f t="shared" si="6"/>
        <v>57.1</v>
      </c>
      <c r="J52" s="60">
        <f t="shared" si="6"/>
        <v>113</v>
      </c>
      <c r="K52" s="60">
        <f t="shared" si="6"/>
        <v>127</v>
      </c>
      <c r="L52" s="60">
        <f t="shared" si="6"/>
        <v>152</v>
      </c>
      <c r="M52" s="60">
        <f t="shared" si="6"/>
        <v>212</v>
      </c>
      <c r="N52" s="60">
        <f t="shared" si="6"/>
        <v>219</v>
      </c>
      <c r="O52" s="60">
        <f t="shared" si="6"/>
        <v>202</v>
      </c>
      <c r="P52" s="60">
        <f t="shared" si="6"/>
        <v>157</v>
      </c>
      <c r="Q52" s="60">
        <f t="shared" si="6"/>
        <v>137</v>
      </c>
      <c r="R52" s="60">
        <f t="shared" si="6"/>
        <v>117</v>
      </c>
      <c r="S52" s="60">
        <f t="shared" si="6"/>
        <v>107</v>
      </c>
      <c r="T52" s="60">
        <f t="shared" si="6"/>
        <v>87</v>
      </c>
      <c r="U52" s="60">
        <f t="shared" ref="U52:V52" si="7">SUM(U49:U51)</f>
        <v>112</v>
      </c>
      <c r="V52" s="60">
        <f t="shared" si="7"/>
        <v>127</v>
      </c>
      <c r="W52" s="60">
        <f t="shared" si="6"/>
        <v>57</v>
      </c>
      <c r="X52" s="60">
        <f t="shared" si="6"/>
        <v>87</v>
      </c>
      <c r="Y52" s="60">
        <f t="shared" si="6"/>
        <v>157</v>
      </c>
      <c r="Z52" s="60">
        <f t="shared" si="6"/>
        <v>157</v>
      </c>
      <c r="AA52" s="60">
        <f t="shared" si="6"/>
        <v>137</v>
      </c>
      <c r="AB52" s="60">
        <f t="shared" si="6"/>
        <v>137</v>
      </c>
      <c r="AC52" s="60">
        <f t="shared" si="6"/>
        <v>97</v>
      </c>
      <c r="AD52" s="60">
        <f t="shared" si="6"/>
        <v>97</v>
      </c>
      <c r="AE52" s="60">
        <f t="shared" si="6"/>
        <v>57</v>
      </c>
      <c r="AF52" s="60">
        <f t="shared" si="6"/>
        <v>37</v>
      </c>
      <c r="AG52" s="61">
        <f t="shared" si="6"/>
        <v>538.1</v>
      </c>
      <c r="AH52" s="47">
        <f t="shared" si="2"/>
        <v>219</v>
      </c>
      <c r="AI52" s="48">
        <f t="shared" si="3"/>
        <v>37</v>
      </c>
      <c r="AK52" s="49"/>
    </row>
    <row r="53" spans="1:41" x14ac:dyDescent="0.25">
      <c r="A53" s="44" t="s">
        <v>57</v>
      </c>
      <c r="B53" s="45">
        <v>35</v>
      </c>
      <c r="C53" s="45">
        <v>47</v>
      </c>
      <c r="D53" s="45">
        <v>35.700000000000003</v>
      </c>
      <c r="E53" s="45">
        <v>28.5</v>
      </c>
      <c r="F53" s="45">
        <v>0</v>
      </c>
      <c r="G53" s="45">
        <v>0</v>
      </c>
      <c r="H53" s="45">
        <v>42</v>
      </c>
      <c r="I53" s="45">
        <v>61.6</v>
      </c>
      <c r="J53" s="45">
        <v>61.6</v>
      </c>
      <c r="K53" s="45">
        <v>97.6</v>
      </c>
      <c r="L53" s="45">
        <v>97.5</v>
      </c>
      <c r="M53" s="45">
        <v>49</v>
      </c>
      <c r="N53" s="45">
        <v>49</v>
      </c>
      <c r="O53" s="45">
        <v>40</v>
      </c>
      <c r="P53" s="45">
        <v>40.700000000000003</v>
      </c>
      <c r="Q53" s="45">
        <v>40.700000000000003</v>
      </c>
      <c r="R53" s="45">
        <v>30.7</v>
      </c>
      <c r="S53" s="45">
        <v>30.7</v>
      </c>
      <c r="T53" s="45">
        <v>30.7</v>
      </c>
      <c r="U53" s="45">
        <v>30.7</v>
      </c>
      <c r="V53" s="45">
        <v>30.7</v>
      </c>
      <c r="W53" s="45">
        <v>30.7</v>
      </c>
      <c r="X53" s="45">
        <v>49</v>
      </c>
      <c r="Y53" s="45">
        <v>122.6</v>
      </c>
      <c r="Z53" s="45">
        <v>135</v>
      </c>
      <c r="AA53" s="45">
        <v>99.3</v>
      </c>
      <c r="AB53" s="45">
        <v>61.5</v>
      </c>
      <c r="AC53" s="45">
        <v>51.7</v>
      </c>
      <c r="AD53" s="45">
        <v>81.3</v>
      </c>
      <c r="AE53" s="45">
        <v>60</v>
      </c>
      <c r="AF53" s="45">
        <v>22.4</v>
      </c>
      <c r="AG53" s="51">
        <v>144</v>
      </c>
      <c r="AH53" s="47">
        <f t="shared" si="2"/>
        <v>135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17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32.799999999999997</v>
      </c>
      <c r="L55" s="65">
        <v>56.5</v>
      </c>
      <c r="M55" s="65">
        <v>69</v>
      </c>
      <c r="N55" s="65">
        <v>69</v>
      </c>
      <c r="O55" s="65">
        <v>68</v>
      </c>
      <c r="P55" s="65">
        <v>56.2</v>
      </c>
      <c r="Q55" s="65">
        <v>56</v>
      </c>
      <c r="R55" s="45">
        <v>32.5</v>
      </c>
      <c r="S55" s="45">
        <v>32.5</v>
      </c>
      <c r="T55" s="45">
        <v>32.5</v>
      </c>
      <c r="U55" s="45">
        <v>32.5</v>
      </c>
      <c r="V55" s="45">
        <v>32.700000000000003</v>
      </c>
      <c r="W55" s="45">
        <v>32.700000000000003</v>
      </c>
      <c r="X55" s="45">
        <v>45</v>
      </c>
      <c r="Y55" s="45">
        <v>56.6</v>
      </c>
      <c r="Z55" s="45">
        <v>56.6</v>
      </c>
      <c r="AA55" s="45">
        <v>56.6</v>
      </c>
      <c r="AB55" s="65">
        <v>56.7</v>
      </c>
      <c r="AC55" s="65">
        <v>56.5</v>
      </c>
      <c r="AD55" s="65">
        <v>37.700000000000003</v>
      </c>
      <c r="AE55" s="65">
        <v>0</v>
      </c>
      <c r="AF55" s="65">
        <v>0</v>
      </c>
      <c r="AG55" s="54">
        <v>69</v>
      </c>
      <c r="AH55" s="47">
        <f t="shared" si="2"/>
        <v>69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37</v>
      </c>
      <c r="C56" s="65">
        <v>39</v>
      </c>
      <c r="D56" s="65">
        <v>39</v>
      </c>
      <c r="E56" s="56">
        <v>38.799999999999997</v>
      </c>
      <c r="F56" s="56">
        <v>39.799999999999997</v>
      </c>
      <c r="G56" s="56">
        <v>39.799999999999997</v>
      </c>
      <c r="H56" s="56">
        <v>39.799999999999997</v>
      </c>
      <c r="I56" s="56">
        <v>37.799999999999997</v>
      </c>
      <c r="J56" s="56">
        <v>38</v>
      </c>
      <c r="K56" s="56">
        <v>40.1</v>
      </c>
      <c r="L56" s="56">
        <v>40.1</v>
      </c>
      <c r="M56" s="65">
        <v>40.1</v>
      </c>
      <c r="N56" s="65">
        <v>40.1</v>
      </c>
      <c r="O56" s="65">
        <v>40.1</v>
      </c>
      <c r="P56" s="65">
        <v>38.299999999999997</v>
      </c>
      <c r="Q56" s="65">
        <v>38.299999999999997</v>
      </c>
      <c r="R56" s="45">
        <v>38.299999999999997</v>
      </c>
      <c r="S56" s="45">
        <v>38.299999999999997</v>
      </c>
      <c r="T56" s="45">
        <v>38.299999999999997</v>
      </c>
      <c r="U56" s="45">
        <v>38.299999999999997</v>
      </c>
      <c r="V56" s="45">
        <v>38.299999999999997</v>
      </c>
      <c r="W56" s="45">
        <v>38.299999999999997</v>
      </c>
      <c r="X56" s="45">
        <v>38.299999999999997</v>
      </c>
      <c r="Y56" s="65">
        <v>38.799999999999997</v>
      </c>
      <c r="Z56" s="65">
        <v>38.799999999999997</v>
      </c>
      <c r="AA56" s="65">
        <v>38.799999999999997</v>
      </c>
      <c r="AB56" s="65">
        <v>38.799999999999997</v>
      </c>
      <c r="AC56" s="65">
        <v>38.799999999999997</v>
      </c>
      <c r="AD56" s="65">
        <v>38.799999999999997</v>
      </c>
      <c r="AE56" s="65">
        <v>38.799999999999997</v>
      </c>
      <c r="AF56" s="65">
        <v>38.799999999999997</v>
      </c>
      <c r="AG56" s="54">
        <v>60</v>
      </c>
      <c r="AH56" s="47">
        <f t="shared" si="2"/>
        <v>40.1</v>
      </c>
      <c r="AI56" s="48">
        <f t="shared" si="3"/>
        <v>37</v>
      </c>
      <c r="AK56" s="49"/>
    </row>
    <row r="57" spans="1:41" x14ac:dyDescent="0.25">
      <c r="A57" s="53" t="s">
        <v>61</v>
      </c>
      <c r="B57" s="65">
        <v>26</v>
      </c>
      <c r="C57" s="65">
        <v>13</v>
      </c>
      <c r="D57" s="65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13</v>
      </c>
      <c r="L57" s="56">
        <v>13</v>
      </c>
      <c r="M57" s="65">
        <v>25</v>
      </c>
      <c r="N57" s="65">
        <v>15</v>
      </c>
      <c r="O57" s="65">
        <v>15</v>
      </c>
      <c r="P57" s="65">
        <v>15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13</v>
      </c>
      <c r="Y57" s="65">
        <v>15</v>
      </c>
      <c r="Z57" s="65">
        <v>15</v>
      </c>
      <c r="AA57" s="65">
        <v>15</v>
      </c>
      <c r="AB57" s="65">
        <v>15</v>
      </c>
      <c r="AC57" s="65">
        <v>15</v>
      </c>
      <c r="AD57" s="65">
        <v>15</v>
      </c>
      <c r="AE57" s="65">
        <v>15</v>
      </c>
      <c r="AF57" s="65">
        <v>0</v>
      </c>
      <c r="AG57" s="54">
        <v>30</v>
      </c>
      <c r="AH57" s="47">
        <f t="shared" si="2"/>
        <v>26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65">
        <v>0</v>
      </c>
      <c r="Q58" s="65">
        <v>0</v>
      </c>
      <c r="R58" s="65">
        <v>0</v>
      </c>
      <c r="S58" s="65">
        <v>13</v>
      </c>
      <c r="T58" s="65">
        <v>13</v>
      </c>
      <c r="U58" s="65">
        <v>13</v>
      </c>
      <c r="V58" s="65">
        <v>13</v>
      </c>
      <c r="W58" s="65">
        <v>10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13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13</v>
      </c>
      <c r="C59" s="65">
        <v>13</v>
      </c>
      <c r="D59" s="65">
        <v>13</v>
      </c>
      <c r="E59" s="65">
        <v>13</v>
      </c>
      <c r="F59" s="65">
        <v>13</v>
      </c>
      <c r="G59" s="65">
        <v>13</v>
      </c>
      <c r="H59" s="65">
        <v>13</v>
      </c>
      <c r="I59" s="65">
        <v>13</v>
      </c>
      <c r="J59" s="65">
        <v>13</v>
      </c>
      <c r="K59" s="65">
        <v>13</v>
      </c>
      <c r="L59" s="65">
        <v>13</v>
      </c>
      <c r="M59" s="65">
        <v>13</v>
      </c>
      <c r="N59" s="65">
        <v>13</v>
      </c>
      <c r="O59" s="65">
        <v>13</v>
      </c>
      <c r="P59" s="65">
        <v>13</v>
      </c>
      <c r="Q59" s="65">
        <v>13</v>
      </c>
      <c r="R59" s="65">
        <v>13</v>
      </c>
      <c r="S59" s="65">
        <v>13</v>
      </c>
      <c r="T59" s="65">
        <v>13</v>
      </c>
      <c r="U59" s="65">
        <v>13</v>
      </c>
      <c r="V59" s="65">
        <v>13</v>
      </c>
      <c r="W59" s="65">
        <v>13</v>
      </c>
      <c r="X59" s="65">
        <v>13</v>
      </c>
      <c r="Y59" s="65">
        <v>13</v>
      </c>
      <c r="Z59" s="65">
        <v>13</v>
      </c>
      <c r="AA59" s="65">
        <v>13</v>
      </c>
      <c r="AB59" s="65">
        <v>13</v>
      </c>
      <c r="AC59" s="65">
        <v>13</v>
      </c>
      <c r="AD59" s="65">
        <v>13</v>
      </c>
      <c r="AE59" s="65">
        <v>13</v>
      </c>
      <c r="AF59" s="65">
        <v>13</v>
      </c>
      <c r="AG59" s="54">
        <v>24</v>
      </c>
      <c r="AH59" s="47">
        <f t="shared" si="2"/>
        <v>13</v>
      </c>
      <c r="AI59" s="48">
        <f t="shared" si="3"/>
        <v>13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10.199999999999999</v>
      </c>
      <c r="C61" s="65">
        <v>10.199999999999999</v>
      </c>
      <c r="D61" s="65">
        <v>10.199999999999999</v>
      </c>
      <c r="E61" s="65">
        <v>10.199999999999999</v>
      </c>
      <c r="F61" s="65">
        <v>10.199999999999999</v>
      </c>
      <c r="G61" s="65">
        <v>10.199999999999999</v>
      </c>
      <c r="H61" s="65">
        <v>10.199999999999999</v>
      </c>
      <c r="I61" s="65">
        <v>10.199999999999999</v>
      </c>
      <c r="J61" s="65">
        <v>10.199999999999999</v>
      </c>
      <c r="K61" s="65">
        <v>10.199999999999999</v>
      </c>
      <c r="L61" s="65">
        <v>10.199999999999999</v>
      </c>
      <c r="M61" s="65">
        <v>10.199999999999999</v>
      </c>
      <c r="N61" s="65">
        <v>10.199999999999999</v>
      </c>
      <c r="O61" s="65">
        <v>10.199999999999999</v>
      </c>
      <c r="P61" s="65">
        <v>10.6</v>
      </c>
      <c r="Q61" s="65">
        <v>10.6</v>
      </c>
      <c r="R61" s="65">
        <v>10.6</v>
      </c>
      <c r="S61" s="65">
        <v>10.6</v>
      </c>
      <c r="T61" s="65">
        <v>10.6</v>
      </c>
      <c r="U61" s="65">
        <v>10.6</v>
      </c>
      <c r="V61" s="65">
        <v>10.6</v>
      </c>
      <c r="W61" s="65">
        <v>10.6</v>
      </c>
      <c r="X61" s="65">
        <v>10.6</v>
      </c>
      <c r="Y61" s="65">
        <v>10.6</v>
      </c>
      <c r="Z61" s="65">
        <v>10.6</v>
      </c>
      <c r="AA61" s="65">
        <v>10.6</v>
      </c>
      <c r="AB61" s="65">
        <v>10.6</v>
      </c>
      <c r="AC61" s="65">
        <v>10.6</v>
      </c>
      <c r="AD61" s="65">
        <v>10.6</v>
      </c>
      <c r="AE61" s="65">
        <v>10.6</v>
      </c>
      <c r="AF61" s="65">
        <v>10.6</v>
      </c>
      <c r="AG61" s="54">
        <v>14.1</v>
      </c>
      <c r="AH61" s="47">
        <f t="shared" si="2"/>
        <v>10.6</v>
      </c>
      <c r="AI61" s="48">
        <f t="shared" si="3"/>
        <v>10.199999999999999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4.7</v>
      </c>
      <c r="C62" s="65">
        <v>3.1</v>
      </c>
      <c r="D62" s="65">
        <v>3.1</v>
      </c>
      <c r="E62" s="65">
        <v>3.1</v>
      </c>
      <c r="F62" s="65">
        <v>3.1</v>
      </c>
      <c r="G62" s="65">
        <v>3.1</v>
      </c>
      <c r="H62" s="65">
        <v>3.1</v>
      </c>
      <c r="I62" s="65">
        <v>3.1</v>
      </c>
      <c r="J62" s="65">
        <v>3.1</v>
      </c>
      <c r="K62" s="65">
        <v>3.1</v>
      </c>
      <c r="L62" s="65">
        <v>3.1</v>
      </c>
      <c r="M62" s="65">
        <v>3.1</v>
      </c>
      <c r="N62" s="65">
        <v>3.1</v>
      </c>
      <c r="O62" s="65">
        <v>3.1</v>
      </c>
      <c r="P62" s="65">
        <v>3.1</v>
      </c>
      <c r="Q62" s="65">
        <v>3.1</v>
      </c>
      <c r="R62" s="65">
        <v>3.1</v>
      </c>
      <c r="S62" s="65">
        <v>3.1</v>
      </c>
      <c r="T62" s="65">
        <v>3.1</v>
      </c>
      <c r="U62" s="65">
        <v>3.1</v>
      </c>
      <c r="V62" s="65">
        <v>3.1</v>
      </c>
      <c r="W62" s="65">
        <v>3.1</v>
      </c>
      <c r="X62" s="65">
        <v>3.1</v>
      </c>
      <c r="Y62" s="65">
        <v>3.1</v>
      </c>
      <c r="Z62" s="65">
        <v>3.1</v>
      </c>
      <c r="AA62" s="65">
        <v>3.1</v>
      </c>
      <c r="AB62" s="65">
        <v>3.1</v>
      </c>
      <c r="AC62" s="65">
        <v>3.1</v>
      </c>
      <c r="AD62" s="65">
        <v>3.1</v>
      </c>
      <c r="AE62" s="65">
        <v>3.1</v>
      </c>
      <c r="AF62" s="65">
        <v>3.1</v>
      </c>
      <c r="AG62" s="54">
        <v>14</v>
      </c>
      <c r="AH62" s="47">
        <f t="shared" si="2"/>
        <v>4.7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4.5</v>
      </c>
      <c r="C63" s="65">
        <v>4.5</v>
      </c>
      <c r="D63" s="65">
        <v>4.5</v>
      </c>
      <c r="E63" s="65">
        <v>4.5</v>
      </c>
      <c r="F63" s="65">
        <v>4.5</v>
      </c>
      <c r="G63" s="65">
        <v>4.5</v>
      </c>
      <c r="H63" s="65">
        <v>4.5</v>
      </c>
      <c r="I63" s="65">
        <v>4.5</v>
      </c>
      <c r="J63" s="65">
        <v>4.5</v>
      </c>
      <c r="K63" s="65">
        <v>4.5</v>
      </c>
      <c r="L63" s="65">
        <v>4.5</v>
      </c>
      <c r="M63" s="65">
        <v>4.5</v>
      </c>
      <c r="N63" s="65">
        <v>4.5</v>
      </c>
      <c r="O63" s="65">
        <v>4.5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8">SUM(B53:B65)</f>
        <v>155.63999999999996</v>
      </c>
      <c r="C66" s="60">
        <f t="shared" si="8"/>
        <v>138.04</v>
      </c>
      <c r="D66" s="60">
        <f t="shared" si="8"/>
        <v>113.74000000000001</v>
      </c>
      <c r="E66" s="60">
        <f t="shared" si="8"/>
        <v>106.34</v>
      </c>
      <c r="F66" s="60">
        <f t="shared" si="8"/>
        <v>78.84</v>
      </c>
      <c r="G66" s="60">
        <f t="shared" si="8"/>
        <v>78.84</v>
      </c>
      <c r="H66" s="60">
        <f t="shared" si="8"/>
        <v>120.84</v>
      </c>
      <c r="I66" s="60">
        <f t="shared" si="8"/>
        <v>138.44</v>
      </c>
      <c r="J66" s="60">
        <f t="shared" si="8"/>
        <v>138.63999999999999</v>
      </c>
      <c r="K66" s="60">
        <f t="shared" si="8"/>
        <v>222.53999999999994</v>
      </c>
      <c r="L66" s="60">
        <f t="shared" si="8"/>
        <v>246.13999999999996</v>
      </c>
      <c r="M66" s="60">
        <f t="shared" si="8"/>
        <v>222.13999999999996</v>
      </c>
      <c r="N66" s="60">
        <f t="shared" si="8"/>
        <v>212.13999999999996</v>
      </c>
      <c r="O66" s="60">
        <f t="shared" si="8"/>
        <v>202.13999999999996</v>
      </c>
      <c r="P66" s="60">
        <f t="shared" si="8"/>
        <v>189.73999999999995</v>
      </c>
      <c r="Q66" s="60">
        <f t="shared" si="8"/>
        <v>174.53999999999996</v>
      </c>
      <c r="R66" s="60">
        <f t="shared" si="8"/>
        <v>141.04</v>
      </c>
      <c r="S66" s="60">
        <f t="shared" si="8"/>
        <v>154.03999999999996</v>
      </c>
      <c r="T66" s="60">
        <f t="shared" si="8"/>
        <v>154.03999999999996</v>
      </c>
      <c r="U66" s="60">
        <f t="shared" ref="U66:V66" si="9">SUM(U53:U65)</f>
        <v>154.03999999999996</v>
      </c>
      <c r="V66" s="60">
        <f t="shared" si="9"/>
        <v>154.23999999999998</v>
      </c>
      <c r="W66" s="60">
        <f t="shared" si="8"/>
        <v>151.23999999999998</v>
      </c>
      <c r="X66" s="60">
        <f t="shared" si="8"/>
        <v>184.83999999999997</v>
      </c>
      <c r="Y66" s="60">
        <v>272.54000000000008</v>
      </c>
      <c r="Z66" s="60">
        <v>272.54000000000008</v>
      </c>
      <c r="AA66" s="60">
        <f t="shared" si="8"/>
        <v>249.23999999999995</v>
      </c>
      <c r="AB66" s="60">
        <f t="shared" si="8"/>
        <v>211.53999999999996</v>
      </c>
      <c r="AC66" s="60">
        <f t="shared" si="8"/>
        <v>201.53999999999996</v>
      </c>
      <c r="AD66" s="60">
        <f t="shared" si="8"/>
        <v>212.33999999999997</v>
      </c>
      <c r="AE66" s="60">
        <f t="shared" si="8"/>
        <v>153.33999999999997</v>
      </c>
      <c r="AF66" s="60">
        <f t="shared" si="8"/>
        <v>100.73999999999998</v>
      </c>
      <c r="AG66" s="61">
        <f t="shared" si="8"/>
        <v>489.91</v>
      </c>
      <c r="AH66" s="47">
        <f t="shared" si="2"/>
        <v>272.54000000000008</v>
      </c>
      <c r="AI66" s="48">
        <f t="shared" si="3"/>
        <v>78.84</v>
      </c>
      <c r="AK66" s="49"/>
    </row>
    <row r="67" spans="1:40" x14ac:dyDescent="0.25">
      <c r="A67" s="44" t="s">
        <v>71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72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45"/>
      <c r="R68" s="4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>
        <v>4.4000000000000004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4.4000000000000004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45"/>
      <c r="R69" s="45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>
        <v>1.6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1.6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0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1">M67+M68+M69</f>
        <v>0</v>
      </c>
      <c r="N70" s="60">
        <f t="shared" si="11"/>
        <v>0</v>
      </c>
      <c r="O70" s="60">
        <f t="shared" si="11"/>
        <v>0</v>
      </c>
      <c r="P70" s="60">
        <f t="shared" si="11"/>
        <v>0</v>
      </c>
      <c r="Q70" s="60">
        <f t="shared" si="11"/>
        <v>0</v>
      </c>
      <c r="R70" s="60">
        <f t="shared" si="11"/>
        <v>0</v>
      </c>
      <c r="S70" s="60">
        <f t="shared" si="11"/>
        <v>0</v>
      </c>
      <c r="T70" s="60">
        <f t="shared" si="11"/>
        <v>0</v>
      </c>
      <c r="U70" s="60">
        <f t="shared" ref="U70:V70" si="12">U67+U68+U69</f>
        <v>0</v>
      </c>
      <c r="V70" s="60">
        <f t="shared" si="12"/>
        <v>0</v>
      </c>
      <c r="W70" s="60">
        <f t="shared" si="11"/>
        <v>0</v>
      </c>
      <c r="X70" s="60">
        <f t="shared" si="11"/>
        <v>0</v>
      </c>
      <c r="Y70" s="60">
        <f t="shared" si="11"/>
        <v>0</v>
      </c>
      <c r="Z70" s="60">
        <f t="shared" si="11"/>
        <v>0</v>
      </c>
      <c r="AA70" s="60">
        <f t="shared" si="11"/>
        <v>0</v>
      </c>
      <c r="AB70" s="60">
        <f t="shared" si="11"/>
        <v>0</v>
      </c>
      <c r="AC70" s="60">
        <f t="shared" si="11"/>
        <v>6</v>
      </c>
      <c r="AD70" s="60">
        <f t="shared" si="11"/>
        <v>0</v>
      </c>
      <c r="AE70" s="60">
        <f t="shared" si="11"/>
        <v>0</v>
      </c>
      <c r="AF70" s="60">
        <f t="shared" si="11"/>
        <v>0</v>
      </c>
      <c r="AG70" s="61">
        <f>SUM(AG67:AG69)</f>
        <v>106</v>
      </c>
      <c r="AH70" s="47">
        <f t="shared" si="2"/>
        <v>6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56</v>
      </c>
      <c r="C71" s="45">
        <v>59</v>
      </c>
      <c r="D71" s="45">
        <v>53</v>
      </c>
      <c r="E71" s="45">
        <v>64.099999999999994</v>
      </c>
      <c r="F71" s="45">
        <v>61.2</v>
      </c>
      <c r="G71" s="45">
        <v>40</v>
      </c>
      <c r="H71" s="45">
        <v>57</v>
      </c>
      <c r="I71" s="45">
        <v>63</v>
      </c>
      <c r="J71" s="45">
        <v>69.900000000000006</v>
      </c>
      <c r="K71" s="45">
        <v>61.1</v>
      </c>
      <c r="L71" s="45">
        <v>64.5</v>
      </c>
      <c r="M71" s="45">
        <v>42.3</v>
      </c>
      <c r="N71" s="45">
        <v>58.1</v>
      </c>
      <c r="O71" s="45">
        <v>61</v>
      </c>
      <c r="P71" s="45">
        <v>60.9</v>
      </c>
      <c r="Q71" s="45">
        <v>59</v>
      </c>
      <c r="R71" s="45">
        <v>59.9</v>
      </c>
      <c r="S71" s="45">
        <v>70</v>
      </c>
      <c r="T71" s="45">
        <v>59</v>
      </c>
      <c r="U71" s="45">
        <v>67</v>
      </c>
      <c r="V71" s="45">
        <v>63.9</v>
      </c>
      <c r="W71" s="45">
        <v>70</v>
      </c>
      <c r="X71" s="45">
        <v>58</v>
      </c>
      <c r="Y71" s="45">
        <v>73</v>
      </c>
      <c r="Z71" s="45">
        <v>60</v>
      </c>
      <c r="AA71" s="45">
        <v>48.7</v>
      </c>
      <c r="AB71" s="45">
        <v>60</v>
      </c>
      <c r="AC71" s="45">
        <v>49.7</v>
      </c>
      <c r="AD71" s="45">
        <v>52.3</v>
      </c>
      <c r="AE71" s="45">
        <v>47.6</v>
      </c>
      <c r="AF71" s="45">
        <v>43.8</v>
      </c>
      <c r="AG71" s="51"/>
      <c r="AH71" s="47">
        <f t="shared" si="2"/>
        <v>73</v>
      </c>
      <c r="AI71" s="48">
        <f t="shared" si="3"/>
        <v>40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187</v>
      </c>
      <c r="C73" s="65">
        <v>148</v>
      </c>
      <c r="D73" s="65">
        <v>132</v>
      </c>
      <c r="E73" s="65">
        <v>144.80000000000001</v>
      </c>
      <c r="F73" s="65">
        <v>157</v>
      </c>
      <c r="G73" s="65">
        <v>207.5</v>
      </c>
      <c r="H73" s="65">
        <v>215.6</v>
      </c>
      <c r="I73" s="65">
        <v>220</v>
      </c>
      <c r="J73" s="65">
        <v>220</v>
      </c>
      <c r="K73" s="65">
        <v>207.4</v>
      </c>
      <c r="L73" s="65">
        <v>210</v>
      </c>
      <c r="M73" s="65">
        <v>232</v>
      </c>
      <c r="N73" s="65">
        <v>209</v>
      </c>
      <c r="O73" s="65">
        <v>216</v>
      </c>
      <c r="P73" s="65">
        <v>216.3</v>
      </c>
      <c r="Q73" s="65">
        <v>212</v>
      </c>
      <c r="R73" s="65">
        <v>216</v>
      </c>
      <c r="S73" s="65">
        <v>216</v>
      </c>
      <c r="T73" s="65">
        <v>220</v>
      </c>
      <c r="U73" s="65">
        <v>211</v>
      </c>
      <c r="V73" s="65">
        <v>209</v>
      </c>
      <c r="W73" s="65">
        <v>280</v>
      </c>
      <c r="X73" s="65">
        <v>290</v>
      </c>
      <c r="Y73" s="65">
        <v>296.89999999999998</v>
      </c>
      <c r="Z73" s="65">
        <v>285</v>
      </c>
      <c r="AA73" s="65">
        <v>292</v>
      </c>
      <c r="AB73" s="65">
        <v>194</v>
      </c>
      <c r="AC73" s="65">
        <v>188.8</v>
      </c>
      <c r="AD73" s="65">
        <v>176.6</v>
      </c>
      <c r="AE73" s="65">
        <v>190</v>
      </c>
      <c r="AF73" s="65">
        <v>184</v>
      </c>
      <c r="AG73" s="75"/>
      <c r="AH73" s="47">
        <f t="shared" si="2"/>
        <v>296.89999999999998</v>
      </c>
      <c r="AI73" s="48">
        <f t="shared" si="3"/>
        <v>132</v>
      </c>
      <c r="AK73" s="49"/>
    </row>
    <row r="74" spans="1:40" x14ac:dyDescent="0.25">
      <c r="A74" s="53" t="s">
        <v>78</v>
      </c>
      <c r="B74" s="65">
        <v>0</v>
      </c>
      <c r="C74" s="65">
        <v>0</v>
      </c>
      <c r="D74" s="65">
        <v>0</v>
      </c>
      <c r="E74" s="76">
        <v>0</v>
      </c>
      <c r="F74" s="76">
        <v>0</v>
      </c>
      <c r="G74" s="76">
        <v>0</v>
      </c>
      <c r="H74" s="76">
        <v>0</v>
      </c>
      <c r="I74" s="76">
        <v>12</v>
      </c>
      <c r="J74" s="76">
        <v>12</v>
      </c>
      <c r="K74" s="76">
        <v>12</v>
      </c>
      <c r="L74" s="76">
        <v>32</v>
      </c>
      <c r="M74" s="76">
        <v>39</v>
      </c>
      <c r="N74" s="76">
        <v>39</v>
      </c>
      <c r="O74" s="76">
        <v>39</v>
      </c>
      <c r="P74" s="76">
        <v>55.5</v>
      </c>
      <c r="Q74" s="76">
        <v>55.2</v>
      </c>
      <c r="R74" s="76">
        <v>54</v>
      </c>
      <c r="S74" s="76">
        <v>54</v>
      </c>
      <c r="T74" s="76">
        <v>61</v>
      </c>
      <c r="U74" s="76">
        <v>61</v>
      </c>
      <c r="V74" s="76">
        <v>61</v>
      </c>
      <c r="W74" s="76">
        <v>61</v>
      </c>
      <c r="X74" s="76">
        <v>61</v>
      </c>
      <c r="Y74" s="65">
        <v>61</v>
      </c>
      <c r="Z74" s="65">
        <v>58</v>
      </c>
      <c r="AA74" s="65">
        <v>52.5</v>
      </c>
      <c r="AB74" s="65">
        <v>50</v>
      </c>
      <c r="AC74" s="65">
        <v>50</v>
      </c>
      <c r="AD74" s="65">
        <v>50</v>
      </c>
      <c r="AE74" s="65">
        <v>50</v>
      </c>
      <c r="AF74" s="65">
        <v>50</v>
      </c>
      <c r="AG74" s="75"/>
      <c r="AH74" s="47">
        <f t="shared" si="2"/>
        <v>61</v>
      </c>
      <c r="AI74" s="48">
        <f t="shared" si="3"/>
        <v>0</v>
      </c>
      <c r="AK74" s="49"/>
    </row>
    <row r="75" spans="1:40" x14ac:dyDescent="0.25">
      <c r="A75" s="53" t="s">
        <v>79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35</v>
      </c>
      <c r="O75" s="45">
        <v>35</v>
      </c>
      <c r="P75" s="45">
        <v>35</v>
      </c>
      <c r="Q75" s="45">
        <v>36</v>
      </c>
      <c r="R75" s="45">
        <v>37</v>
      </c>
      <c r="S75" s="45">
        <v>37</v>
      </c>
      <c r="T75" s="45">
        <v>37</v>
      </c>
      <c r="U75" s="45">
        <v>37</v>
      </c>
      <c r="V75" s="45">
        <v>37</v>
      </c>
      <c r="W75" s="45">
        <v>37</v>
      </c>
      <c r="X75" s="45">
        <v>37</v>
      </c>
      <c r="Y75" s="45">
        <v>37</v>
      </c>
      <c r="Z75" s="45">
        <v>37</v>
      </c>
      <c r="AA75" s="45">
        <v>37</v>
      </c>
      <c r="AB75" s="45">
        <v>38</v>
      </c>
      <c r="AC75" s="45">
        <v>38</v>
      </c>
      <c r="AD75" s="45">
        <v>38</v>
      </c>
      <c r="AE75" s="45">
        <v>38</v>
      </c>
      <c r="AF75" s="45">
        <v>38</v>
      </c>
      <c r="AG75" s="75"/>
      <c r="AH75" s="47">
        <f t="shared" ref="AH75:AH117" si="13">MAX(B75:AF75)</f>
        <v>38</v>
      </c>
      <c r="AI75" s="48">
        <f t="shared" ref="AI75:AI117" si="14">MIN(B75:AF75)</f>
        <v>0</v>
      </c>
      <c r="AK75" s="49"/>
    </row>
    <row r="76" spans="1:40" x14ac:dyDescent="0.25">
      <c r="A76" s="53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13"/>
        <v>0</v>
      </c>
      <c r="AI76" s="48">
        <f t="shared" si="14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3"/>
        <v>0</v>
      </c>
      <c r="AI77" s="48">
        <f t="shared" si="14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3"/>
        <v>0</v>
      </c>
      <c r="AI78" s="48">
        <f t="shared" si="14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3"/>
        <v>0</v>
      </c>
      <c r="AI79" s="48">
        <f t="shared" si="14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3"/>
        <v>0</v>
      </c>
      <c r="AI80" s="48">
        <f t="shared" si="14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3"/>
        <v>0</v>
      </c>
      <c r="AI81" s="48">
        <f t="shared" si="14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5">SUMIF(B71:B81,"&gt;0")</f>
        <v>243</v>
      </c>
      <c r="C82" s="60">
        <f t="shared" si="15"/>
        <v>207</v>
      </c>
      <c r="D82" s="60">
        <f t="shared" si="15"/>
        <v>185</v>
      </c>
      <c r="E82" s="60">
        <f t="shared" si="15"/>
        <v>208.9</v>
      </c>
      <c r="F82" s="60">
        <f t="shared" si="15"/>
        <v>218.2</v>
      </c>
      <c r="G82" s="60">
        <f t="shared" si="15"/>
        <v>247.5</v>
      </c>
      <c r="H82" s="60">
        <f t="shared" si="15"/>
        <v>272.60000000000002</v>
      </c>
      <c r="I82" s="60">
        <f t="shared" si="15"/>
        <v>295</v>
      </c>
      <c r="J82" s="60">
        <f t="shared" si="15"/>
        <v>301.89999999999998</v>
      </c>
      <c r="K82" s="60">
        <f t="shared" si="15"/>
        <v>280.5</v>
      </c>
      <c r="L82" s="60">
        <f t="shared" si="15"/>
        <v>306.5</v>
      </c>
      <c r="M82" s="60">
        <f t="shared" si="15"/>
        <v>313.3</v>
      </c>
      <c r="N82" s="60">
        <f t="shared" si="15"/>
        <v>341.1</v>
      </c>
      <c r="O82" s="60">
        <f t="shared" si="15"/>
        <v>351</v>
      </c>
      <c r="P82" s="60">
        <f t="shared" si="15"/>
        <v>367.7</v>
      </c>
      <c r="Q82" s="60">
        <f t="shared" si="15"/>
        <v>362.2</v>
      </c>
      <c r="R82" s="60">
        <f t="shared" si="15"/>
        <v>366.9</v>
      </c>
      <c r="S82" s="60">
        <f t="shared" si="15"/>
        <v>377</v>
      </c>
      <c r="T82" s="60">
        <f t="shared" si="15"/>
        <v>377</v>
      </c>
      <c r="U82" s="60">
        <f t="shared" ref="U82:V82" si="16">SUMIF(U71:U81,"&gt;0")</f>
        <v>376</v>
      </c>
      <c r="V82" s="60">
        <f t="shared" si="16"/>
        <v>370.9</v>
      </c>
      <c r="W82" s="60">
        <f t="shared" si="15"/>
        <v>448</v>
      </c>
      <c r="X82" s="60">
        <f t="shared" si="15"/>
        <v>446</v>
      </c>
      <c r="Y82" s="60">
        <f t="shared" si="15"/>
        <v>467.9</v>
      </c>
      <c r="Z82" s="60">
        <f t="shared" si="15"/>
        <v>440</v>
      </c>
      <c r="AA82" s="60">
        <f t="shared" si="15"/>
        <v>430.2</v>
      </c>
      <c r="AB82" s="60">
        <f t="shared" si="15"/>
        <v>342</v>
      </c>
      <c r="AC82" s="60">
        <f t="shared" si="15"/>
        <v>326.5</v>
      </c>
      <c r="AD82" s="60">
        <f t="shared" si="15"/>
        <v>316.89999999999998</v>
      </c>
      <c r="AE82" s="60">
        <f t="shared" si="15"/>
        <v>325.60000000000002</v>
      </c>
      <c r="AF82" s="60">
        <f t="shared" si="15"/>
        <v>315.8</v>
      </c>
      <c r="AG82" s="88">
        <f>SUM(AG71:AG81)</f>
        <v>0</v>
      </c>
      <c r="AH82" s="47">
        <f t="shared" si="13"/>
        <v>467.9</v>
      </c>
      <c r="AI82" s="48">
        <f t="shared" si="14"/>
        <v>185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3"/>
        <v>0</v>
      </c>
      <c r="AI83" s="48">
        <f t="shared" si="14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3"/>
        <v>0</v>
      </c>
      <c r="AI84" s="48">
        <f t="shared" si="14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3"/>
        <v>0</v>
      </c>
      <c r="AI85" s="48">
        <f t="shared" si="14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>
        <v>0</v>
      </c>
      <c r="Z86" s="60">
        <v>0</v>
      </c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3"/>
        <v>0</v>
      </c>
      <c r="AI86" s="48">
        <f t="shared" si="14"/>
        <v>0</v>
      </c>
    </row>
    <row r="87" spans="1:40" ht="15.75" thickBot="1" x14ac:dyDescent="0.3">
      <c r="A87" s="74" t="s">
        <v>94</v>
      </c>
      <c r="B87" s="95">
        <f t="shared" ref="B87:AG87" si="17">B48+B52+B70+B66+B82+B86</f>
        <v>793.74</v>
      </c>
      <c r="C87" s="95">
        <f t="shared" si="17"/>
        <v>740.14</v>
      </c>
      <c r="D87" s="95">
        <f t="shared" si="17"/>
        <v>693.84</v>
      </c>
      <c r="E87" s="95">
        <f t="shared" si="17"/>
        <v>710.14</v>
      </c>
      <c r="F87" s="95">
        <f t="shared" si="17"/>
        <v>693.04</v>
      </c>
      <c r="G87" s="95">
        <f t="shared" si="17"/>
        <v>722.34</v>
      </c>
      <c r="H87" s="95">
        <f t="shared" si="17"/>
        <v>787.84</v>
      </c>
      <c r="I87" s="95">
        <f t="shared" si="17"/>
        <v>848.34</v>
      </c>
      <c r="J87" s="95">
        <f t="shared" si="17"/>
        <v>911.34</v>
      </c>
      <c r="K87" s="95">
        <f t="shared" si="17"/>
        <v>987.83999999999992</v>
      </c>
      <c r="L87" s="95">
        <f t="shared" si="17"/>
        <v>1062.44</v>
      </c>
      <c r="M87" s="95">
        <f t="shared" si="17"/>
        <v>1105.24</v>
      </c>
      <c r="N87" s="95">
        <f t="shared" si="17"/>
        <v>1130.04</v>
      </c>
      <c r="O87" s="95">
        <f t="shared" si="17"/>
        <v>1112.94</v>
      </c>
      <c r="P87" s="95">
        <f t="shared" si="17"/>
        <v>1074.24</v>
      </c>
      <c r="Q87" s="95">
        <f t="shared" si="17"/>
        <v>1033.54</v>
      </c>
      <c r="R87" s="95">
        <f t="shared" si="17"/>
        <v>993.33999999999992</v>
      </c>
      <c r="S87" s="95">
        <f t="shared" si="17"/>
        <v>1006.4399999999999</v>
      </c>
      <c r="T87" s="95">
        <f t="shared" si="17"/>
        <v>986.43999999999994</v>
      </c>
      <c r="U87" s="95">
        <f t="shared" ref="U87:V87" si="18">U48+U52+U70+U66+U82+U86</f>
        <v>1010.4399999999999</v>
      </c>
      <c r="V87" s="95">
        <f t="shared" si="18"/>
        <v>1020.54</v>
      </c>
      <c r="W87" s="95">
        <f t="shared" si="17"/>
        <v>1024.6399999999999</v>
      </c>
      <c r="X87" s="95">
        <f t="shared" si="17"/>
        <v>1086.24</v>
      </c>
      <c r="Y87" s="95">
        <f t="shared" si="17"/>
        <v>1259.1400000000001</v>
      </c>
      <c r="Z87" s="95">
        <f t="shared" si="17"/>
        <v>1231.2400000000002</v>
      </c>
      <c r="AA87" s="95">
        <f t="shared" si="17"/>
        <v>1178.1399999999999</v>
      </c>
      <c r="AB87" s="95">
        <f t="shared" si="17"/>
        <v>1052.24</v>
      </c>
      <c r="AC87" s="95">
        <f t="shared" si="17"/>
        <v>992.74</v>
      </c>
      <c r="AD87" s="95">
        <f t="shared" si="17"/>
        <v>987.93999999999994</v>
      </c>
      <c r="AE87" s="95">
        <f t="shared" si="17"/>
        <v>897.64</v>
      </c>
      <c r="AF87" s="95">
        <f t="shared" si="17"/>
        <v>815.24</v>
      </c>
      <c r="AG87" s="61">
        <f t="shared" si="17"/>
        <v>2065.09</v>
      </c>
      <c r="AH87" s="47">
        <f>MAX(B87:AF87)</f>
        <v>1259.1400000000001</v>
      </c>
      <c r="AI87" s="48">
        <f>MIN(B87:AF87)</f>
        <v>693.04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13"/>
        <v>0</v>
      </c>
      <c r="AI88" s="48">
        <f t="shared" si="14"/>
        <v>0</v>
      </c>
    </row>
    <row r="89" spans="1:40" ht="15.75" thickBot="1" x14ac:dyDescent="0.3">
      <c r="A89" s="74" t="s">
        <v>96</v>
      </c>
      <c r="B89" s="95">
        <f t="shared" ref="B89:AF89" si="19">B87+B88</f>
        <v>793.74</v>
      </c>
      <c r="C89" s="95">
        <f t="shared" si="19"/>
        <v>740.14</v>
      </c>
      <c r="D89" s="95">
        <f t="shared" si="19"/>
        <v>693.84</v>
      </c>
      <c r="E89" s="95">
        <f t="shared" si="19"/>
        <v>710.14</v>
      </c>
      <c r="F89" s="95">
        <f t="shared" si="19"/>
        <v>693.04</v>
      </c>
      <c r="G89" s="95">
        <f t="shared" si="19"/>
        <v>722.34</v>
      </c>
      <c r="H89" s="95">
        <f t="shared" si="19"/>
        <v>787.84</v>
      </c>
      <c r="I89" s="95">
        <f t="shared" si="19"/>
        <v>848.34</v>
      </c>
      <c r="J89" s="95">
        <f t="shared" si="19"/>
        <v>911.34</v>
      </c>
      <c r="K89" s="95">
        <f t="shared" si="19"/>
        <v>987.83999999999992</v>
      </c>
      <c r="L89" s="95">
        <f t="shared" si="19"/>
        <v>1062.44</v>
      </c>
      <c r="M89" s="95">
        <f t="shared" si="19"/>
        <v>1105.24</v>
      </c>
      <c r="N89" s="95">
        <f t="shared" si="19"/>
        <v>1130.04</v>
      </c>
      <c r="O89" s="95">
        <f t="shared" si="19"/>
        <v>1112.94</v>
      </c>
      <c r="P89" s="95">
        <f t="shared" si="19"/>
        <v>1074.24</v>
      </c>
      <c r="Q89" s="95">
        <f t="shared" si="19"/>
        <v>1033.54</v>
      </c>
      <c r="R89" s="95">
        <f t="shared" si="19"/>
        <v>993.33999999999992</v>
      </c>
      <c r="S89" s="95">
        <f t="shared" si="19"/>
        <v>1006.4399999999999</v>
      </c>
      <c r="T89" s="95">
        <f t="shared" si="19"/>
        <v>986.43999999999994</v>
      </c>
      <c r="U89" s="95">
        <f t="shared" ref="U89:V89" si="20">U87+U88</f>
        <v>1010.4399999999999</v>
      </c>
      <c r="V89" s="95">
        <f t="shared" si="20"/>
        <v>1020.54</v>
      </c>
      <c r="W89" s="95">
        <f t="shared" si="19"/>
        <v>1024.6399999999999</v>
      </c>
      <c r="X89" s="95">
        <f t="shared" si="19"/>
        <v>1086.24</v>
      </c>
      <c r="Y89" s="95">
        <f t="shared" si="19"/>
        <v>1259.1400000000001</v>
      </c>
      <c r="Z89" s="95">
        <f t="shared" si="19"/>
        <v>1231.2400000000002</v>
      </c>
      <c r="AA89" s="95">
        <f t="shared" si="19"/>
        <v>1178.1399999999999</v>
      </c>
      <c r="AB89" s="95">
        <f t="shared" si="19"/>
        <v>1052.24</v>
      </c>
      <c r="AC89" s="95">
        <f t="shared" si="19"/>
        <v>992.74</v>
      </c>
      <c r="AD89" s="95">
        <f t="shared" si="19"/>
        <v>987.93999999999994</v>
      </c>
      <c r="AE89" s="95">
        <f t="shared" si="19"/>
        <v>897.64</v>
      </c>
      <c r="AF89" s="95">
        <f t="shared" si="19"/>
        <v>815.24</v>
      </c>
      <c r="AG89" s="88">
        <f>AG86+AG82+AG70+AG66+AG48+AG88</f>
        <v>1526.99</v>
      </c>
      <c r="AH89" s="47">
        <f t="shared" si="13"/>
        <v>1259.1400000000001</v>
      </c>
      <c r="AI89" s="48">
        <f t="shared" si="14"/>
        <v>693.04</v>
      </c>
    </row>
    <row r="90" spans="1:40" ht="15.75" thickBot="1" x14ac:dyDescent="0.3">
      <c r="A90" s="74" t="s">
        <v>97</v>
      </c>
      <c r="B90" s="95">
        <f t="shared" ref="B90:AF90" si="21">B89-B97</f>
        <v>793.74</v>
      </c>
      <c r="C90" s="95">
        <f t="shared" si="21"/>
        <v>740.14</v>
      </c>
      <c r="D90" s="95">
        <f t="shared" si="21"/>
        <v>693.84</v>
      </c>
      <c r="E90" s="95">
        <f t="shared" si="21"/>
        <v>710.14</v>
      </c>
      <c r="F90" s="95">
        <f t="shared" si="21"/>
        <v>693.04</v>
      </c>
      <c r="G90" s="95">
        <f t="shared" si="21"/>
        <v>722.34</v>
      </c>
      <c r="H90" s="95">
        <f t="shared" si="21"/>
        <v>787.84</v>
      </c>
      <c r="I90" s="95">
        <f t="shared" si="21"/>
        <v>848.34</v>
      </c>
      <c r="J90" s="95">
        <f t="shared" si="21"/>
        <v>911.34</v>
      </c>
      <c r="K90" s="95">
        <f t="shared" si="21"/>
        <v>987.83999999999992</v>
      </c>
      <c r="L90" s="95">
        <f t="shared" si="21"/>
        <v>1062.44</v>
      </c>
      <c r="M90" s="95">
        <f t="shared" si="21"/>
        <v>1105.24</v>
      </c>
      <c r="N90" s="95">
        <f t="shared" si="21"/>
        <v>1130.04</v>
      </c>
      <c r="O90" s="95">
        <f t="shared" si="21"/>
        <v>1112.94</v>
      </c>
      <c r="P90" s="95">
        <f t="shared" si="21"/>
        <v>1074.24</v>
      </c>
      <c r="Q90" s="95">
        <f t="shared" si="21"/>
        <v>1033.54</v>
      </c>
      <c r="R90" s="95">
        <f t="shared" si="21"/>
        <v>993.33999999999992</v>
      </c>
      <c r="S90" s="95">
        <f t="shared" si="21"/>
        <v>1006.4399999999999</v>
      </c>
      <c r="T90" s="95">
        <f t="shared" si="21"/>
        <v>986.43999999999994</v>
      </c>
      <c r="U90" s="95">
        <f t="shared" ref="U90:V90" si="22">U89-U97</f>
        <v>1010.4399999999999</v>
      </c>
      <c r="V90" s="95">
        <f t="shared" si="22"/>
        <v>1020.54</v>
      </c>
      <c r="W90" s="95">
        <f t="shared" si="21"/>
        <v>1024.6399999999999</v>
      </c>
      <c r="X90" s="95">
        <f t="shared" si="21"/>
        <v>1086.24</v>
      </c>
      <c r="Y90" s="95">
        <v>1259.1400000000001</v>
      </c>
      <c r="Z90" s="95">
        <v>1259.1400000000001</v>
      </c>
      <c r="AA90" s="95">
        <f t="shared" si="21"/>
        <v>1178.1399999999999</v>
      </c>
      <c r="AB90" s="95">
        <f t="shared" si="21"/>
        <v>1052.24</v>
      </c>
      <c r="AC90" s="95">
        <f t="shared" si="21"/>
        <v>992.74</v>
      </c>
      <c r="AD90" s="95">
        <f t="shared" si="21"/>
        <v>987.93999999999994</v>
      </c>
      <c r="AE90" s="95">
        <f t="shared" si="21"/>
        <v>897.64</v>
      </c>
      <c r="AF90" s="95">
        <f t="shared" si="21"/>
        <v>815.24</v>
      </c>
      <c r="AG90" s="88"/>
      <c r="AH90" s="47">
        <f t="shared" si="13"/>
        <v>1259.1400000000001</v>
      </c>
      <c r="AI90" s="48">
        <f t="shared" si="14"/>
        <v>693.04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3"/>
        <v>0</v>
      </c>
      <c r="AI91" s="48">
        <f t="shared" si="14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3"/>
        <v>0</v>
      </c>
      <c r="AI92" s="48">
        <f t="shared" si="14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3"/>
        <v>0</v>
      </c>
      <c r="AI93" s="48">
        <f t="shared" si="14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3"/>
        <v>0</v>
      </c>
      <c r="AI94" s="48">
        <f t="shared" si="14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3"/>
        <v>0</v>
      </c>
      <c r="AI95" s="48">
        <f t="shared" si="14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3"/>
        <v>0</v>
      </c>
      <c r="AI96" s="48">
        <f t="shared" si="14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>
        <v>0</v>
      </c>
      <c r="Z97" s="60">
        <v>0</v>
      </c>
      <c r="AA97" s="60"/>
      <c r="AB97" s="60"/>
      <c r="AC97" s="60"/>
      <c r="AD97" s="60"/>
      <c r="AE97" s="60"/>
      <c r="AF97" s="60"/>
      <c r="AG97" s="88"/>
      <c r="AH97" s="47">
        <f t="shared" si="13"/>
        <v>0</v>
      </c>
      <c r="AI97" s="48">
        <f t="shared" si="14"/>
        <v>0</v>
      </c>
      <c r="AK97" s="49"/>
    </row>
    <row r="98" spans="1:37" ht="15.75" thickBot="1" x14ac:dyDescent="0.3">
      <c r="A98" s="74" t="s">
        <v>102</v>
      </c>
      <c r="B98" s="60">
        <f t="shared" ref="B98:AF98" si="23">B82-B97</f>
        <v>243</v>
      </c>
      <c r="C98" s="60">
        <f t="shared" si="23"/>
        <v>207</v>
      </c>
      <c r="D98" s="60">
        <f t="shared" si="23"/>
        <v>185</v>
      </c>
      <c r="E98" s="60">
        <f t="shared" si="23"/>
        <v>208.9</v>
      </c>
      <c r="F98" s="60">
        <f t="shared" si="23"/>
        <v>218.2</v>
      </c>
      <c r="G98" s="60">
        <f t="shared" si="23"/>
        <v>247.5</v>
      </c>
      <c r="H98" s="60">
        <f t="shared" si="23"/>
        <v>272.60000000000002</v>
      </c>
      <c r="I98" s="60">
        <f t="shared" si="23"/>
        <v>295</v>
      </c>
      <c r="J98" s="60">
        <f t="shared" si="23"/>
        <v>301.89999999999998</v>
      </c>
      <c r="K98" s="60">
        <f t="shared" si="23"/>
        <v>280.5</v>
      </c>
      <c r="L98" s="60">
        <f t="shared" si="23"/>
        <v>306.5</v>
      </c>
      <c r="M98" s="60">
        <f t="shared" si="23"/>
        <v>313.3</v>
      </c>
      <c r="N98" s="60">
        <f t="shared" si="23"/>
        <v>341.1</v>
      </c>
      <c r="O98" s="60">
        <f t="shared" si="23"/>
        <v>351</v>
      </c>
      <c r="P98" s="60">
        <f t="shared" si="23"/>
        <v>367.7</v>
      </c>
      <c r="Q98" s="60">
        <f t="shared" si="23"/>
        <v>362.2</v>
      </c>
      <c r="R98" s="60">
        <f t="shared" si="23"/>
        <v>366.9</v>
      </c>
      <c r="S98" s="60">
        <f t="shared" si="23"/>
        <v>377</v>
      </c>
      <c r="T98" s="60">
        <f t="shared" si="23"/>
        <v>377</v>
      </c>
      <c r="U98" s="60">
        <f t="shared" ref="U98:V98" si="24">U82-U97</f>
        <v>376</v>
      </c>
      <c r="V98" s="60">
        <f t="shared" si="24"/>
        <v>370.9</v>
      </c>
      <c r="W98" s="60">
        <f t="shared" si="23"/>
        <v>448</v>
      </c>
      <c r="X98" s="60">
        <f t="shared" si="23"/>
        <v>446</v>
      </c>
      <c r="Y98" s="60">
        <f t="shared" si="23"/>
        <v>467.9</v>
      </c>
      <c r="Z98" s="60">
        <f t="shared" si="23"/>
        <v>440</v>
      </c>
      <c r="AA98" s="60">
        <f t="shared" si="23"/>
        <v>430.2</v>
      </c>
      <c r="AB98" s="60">
        <f t="shared" si="23"/>
        <v>342</v>
      </c>
      <c r="AC98" s="60">
        <f t="shared" si="23"/>
        <v>326.5</v>
      </c>
      <c r="AD98" s="60">
        <f t="shared" si="23"/>
        <v>316.89999999999998</v>
      </c>
      <c r="AE98" s="60">
        <f t="shared" si="23"/>
        <v>325.60000000000002</v>
      </c>
      <c r="AF98" s="60">
        <f t="shared" si="23"/>
        <v>315.8</v>
      </c>
      <c r="AG98" s="88"/>
      <c r="AH98" s="47">
        <f t="shared" si="13"/>
        <v>467.9</v>
      </c>
      <c r="AI98" s="48">
        <f t="shared" si="14"/>
        <v>185</v>
      </c>
    </row>
    <row r="99" spans="1:37" x14ac:dyDescent="0.25">
      <c r="A99" s="100" t="s">
        <v>103</v>
      </c>
      <c r="B99" s="101">
        <v>50.000999999999998</v>
      </c>
      <c r="C99" s="101">
        <v>49.902000000000001</v>
      </c>
      <c r="D99" s="101">
        <v>49.98</v>
      </c>
      <c r="E99" s="101">
        <v>50.095999999999997</v>
      </c>
      <c r="F99" s="101">
        <v>49.927</v>
      </c>
      <c r="G99" s="101">
        <v>50.037999999999997</v>
      </c>
      <c r="H99" s="101">
        <v>50.024000000000001</v>
      </c>
      <c r="I99" s="101">
        <v>50.064999999999998</v>
      </c>
      <c r="J99" s="101">
        <v>50.180999999999997</v>
      </c>
      <c r="K99" s="101">
        <v>50.037999999999997</v>
      </c>
      <c r="L99" s="101">
        <v>50.045999999999999</v>
      </c>
      <c r="M99" s="101">
        <v>50.052999999999997</v>
      </c>
      <c r="N99" s="101">
        <v>50.103999999999999</v>
      </c>
      <c r="O99" s="101">
        <v>50.042999999999999</v>
      </c>
      <c r="P99" s="101">
        <v>50.040999999999997</v>
      </c>
      <c r="Q99" s="101">
        <v>49.975999999999999</v>
      </c>
      <c r="R99" s="101">
        <v>49.963000000000001</v>
      </c>
      <c r="S99" s="101">
        <v>50.08</v>
      </c>
      <c r="T99" s="101">
        <v>50.1</v>
      </c>
      <c r="U99" s="101">
        <v>49.97</v>
      </c>
      <c r="V99" s="101">
        <v>49.97</v>
      </c>
      <c r="W99" s="101">
        <v>49.97</v>
      </c>
      <c r="X99" s="101">
        <v>49.96</v>
      </c>
      <c r="Y99" s="101">
        <v>49.03</v>
      </c>
      <c r="Z99" s="101">
        <v>49.97</v>
      </c>
      <c r="AA99" s="101">
        <v>49.96</v>
      </c>
      <c r="AB99" s="101">
        <v>50.015999999999998</v>
      </c>
      <c r="AC99" s="101">
        <v>50.030999999999999</v>
      </c>
      <c r="AD99" s="101">
        <v>49.947000000000003</v>
      </c>
      <c r="AE99" s="101">
        <v>50.052</v>
      </c>
      <c r="AF99" s="101">
        <v>49.991</v>
      </c>
      <c r="AG99" s="102"/>
      <c r="AH99" s="47">
        <f t="shared" si="13"/>
        <v>50.180999999999997</v>
      </c>
      <c r="AI99" s="48">
        <f t="shared" si="14"/>
        <v>49.03</v>
      </c>
    </row>
    <row r="100" spans="1:37" x14ac:dyDescent="0.25">
      <c r="A100" s="103" t="s">
        <v>104</v>
      </c>
      <c r="B100" s="65">
        <v>131.69999999999999</v>
      </c>
      <c r="C100" s="65">
        <v>132</v>
      </c>
      <c r="D100" s="65">
        <v>132.80000000000001</v>
      </c>
      <c r="E100" s="65">
        <v>133</v>
      </c>
      <c r="F100" s="65">
        <v>132.80000000000001</v>
      </c>
      <c r="G100" s="65">
        <v>132.19999999999999</v>
      </c>
      <c r="H100" s="65">
        <v>131.9</v>
      </c>
      <c r="I100" s="65">
        <v>131.19999999999999</v>
      </c>
      <c r="J100" s="65">
        <v>129.1</v>
      </c>
      <c r="K100" s="65">
        <v>127.9</v>
      </c>
      <c r="L100" s="65">
        <v>127</v>
      </c>
      <c r="M100" s="65">
        <v>124.2</v>
      </c>
      <c r="N100" s="65">
        <v>125.8</v>
      </c>
      <c r="O100" s="65">
        <v>125.5</v>
      </c>
      <c r="P100" s="65">
        <v>126.1</v>
      </c>
      <c r="Q100" s="65">
        <v>126.8</v>
      </c>
      <c r="R100" s="65">
        <v>128.6</v>
      </c>
      <c r="S100" s="65">
        <v>128</v>
      </c>
      <c r="T100" s="65">
        <v>126.5</v>
      </c>
      <c r="U100" s="65">
        <v>127.8</v>
      </c>
      <c r="V100" s="65">
        <v>127.8</v>
      </c>
      <c r="W100" s="65">
        <v>127.8</v>
      </c>
      <c r="X100" s="65">
        <v>127.5</v>
      </c>
      <c r="Y100" s="65">
        <v>127.5</v>
      </c>
      <c r="Z100" s="65">
        <v>128.1</v>
      </c>
      <c r="AA100" s="65">
        <v>128.4</v>
      </c>
      <c r="AB100" s="65">
        <v>130</v>
      </c>
      <c r="AC100" s="65">
        <v>131.69999999999999</v>
      </c>
      <c r="AD100" s="65">
        <v>131.69999999999999</v>
      </c>
      <c r="AE100" s="65">
        <v>131.9</v>
      </c>
      <c r="AF100" s="65">
        <v>131.9</v>
      </c>
      <c r="AG100" s="104"/>
      <c r="AH100" s="47">
        <f t="shared" si="13"/>
        <v>133</v>
      </c>
      <c r="AI100" s="48">
        <f t="shared" si="14"/>
        <v>124.2</v>
      </c>
    </row>
    <row r="101" spans="1:37" x14ac:dyDescent="0.25">
      <c r="A101" s="103" t="s">
        <v>105</v>
      </c>
      <c r="B101" s="65">
        <v>134.69999999999999</v>
      </c>
      <c r="C101" s="65">
        <v>135</v>
      </c>
      <c r="D101" s="65">
        <v>136</v>
      </c>
      <c r="E101" s="65">
        <v>136</v>
      </c>
      <c r="F101" s="65">
        <v>135.6</v>
      </c>
      <c r="G101" s="65">
        <v>135.1</v>
      </c>
      <c r="H101" s="65">
        <v>134.6</v>
      </c>
      <c r="I101" s="65">
        <v>133.80000000000001</v>
      </c>
      <c r="J101" s="65">
        <v>131.6</v>
      </c>
      <c r="K101" s="65">
        <v>130.30000000000001</v>
      </c>
      <c r="L101" s="65">
        <v>129.30000000000001</v>
      </c>
      <c r="M101" s="65">
        <v>126.7</v>
      </c>
      <c r="N101" s="65">
        <v>127.9</v>
      </c>
      <c r="O101" s="65">
        <v>128</v>
      </c>
      <c r="P101" s="65">
        <v>128.4</v>
      </c>
      <c r="Q101" s="65">
        <v>128.9</v>
      </c>
      <c r="R101" s="65">
        <v>130.6</v>
      </c>
      <c r="S101" s="65">
        <v>130.5</v>
      </c>
      <c r="T101" s="65">
        <v>129</v>
      </c>
      <c r="U101" s="65">
        <v>130</v>
      </c>
      <c r="V101" s="65">
        <v>130</v>
      </c>
      <c r="W101" s="65">
        <v>130</v>
      </c>
      <c r="X101" s="65">
        <v>129.9</v>
      </c>
      <c r="Y101" s="65">
        <v>129.80000000000001</v>
      </c>
      <c r="Z101" s="65">
        <v>130.30000000000001</v>
      </c>
      <c r="AA101" s="65">
        <v>130.69999999999999</v>
      </c>
      <c r="AB101" s="65">
        <v>132</v>
      </c>
      <c r="AC101" s="65">
        <v>133.5</v>
      </c>
      <c r="AD101" s="65">
        <v>133.5</v>
      </c>
      <c r="AE101" s="65">
        <v>134.19999999999999</v>
      </c>
      <c r="AF101" s="65">
        <v>134.19999999999999</v>
      </c>
      <c r="AG101" s="104"/>
      <c r="AH101" s="47">
        <f t="shared" si="13"/>
        <v>136</v>
      </c>
      <c r="AI101" s="48">
        <f t="shared" si="14"/>
        <v>126.7</v>
      </c>
    </row>
    <row r="102" spans="1:37" x14ac:dyDescent="0.25">
      <c r="A102" s="103" t="s">
        <v>106</v>
      </c>
      <c r="B102" s="65">
        <v>134</v>
      </c>
      <c r="C102" s="65">
        <v>134</v>
      </c>
      <c r="D102" s="65">
        <v>135</v>
      </c>
      <c r="E102" s="65">
        <v>135</v>
      </c>
      <c r="F102" s="65">
        <v>134.5</v>
      </c>
      <c r="G102" s="65">
        <v>134.5</v>
      </c>
      <c r="H102" s="65">
        <v>133.5</v>
      </c>
      <c r="I102" s="65">
        <v>132.5</v>
      </c>
      <c r="J102" s="65">
        <v>130</v>
      </c>
      <c r="K102" s="65">
        <v>129.1</v>
      </c>
      <c r="L102" s="65">
        <v>127.5</v>
      </c>
      <c r="M102" s="65">
        <v>128</v>
      </c>
      <c r="N102" s="65">
        <v>130.19999999999999</v>
      </c>
      <c r="O102" s="65">
        <v>130.30000000000001</v>
      </c>
      <c r="P102" s="65">
        <v>131.1</v>
      </c>
      <c r="Q102" s="65">
        <v>131.4</v>
      </c>
      <c r="R102" s="65">
        <v>131.19999999999999</v>
      </c>
      <c r="S102" s="65">
        <v>131.9</v>
      </c>
      <c r="T102" s="65">
        <v>132</v>
      </c>
      <c r="U102" s="65">
        <v>130.9</v>
      </c>
      <c r="V102" s="65">
        <v>130.9</v>
      </c>
      <c r="W102" s="65">
        <v>130.9</v>
      </c>
      <c r="X102" s="65">
        <v>130.4</v>
      </c>
      <c r="Y102" s="65">
        <v>1285.2</v>
      </c>
      <c r="Z102" s="65">
        <v>132.30000000000001</v>
      </c>
      <c r="AA102" s="65">
        <v>129.19999999999999</v>
      </c>
      <c r="AB102" s="65">
        <v>132</v>
      </c>
      <c r="AC102" s="65">
        <v>131.4</v>
      </c>
      <c r="AD102" s="65">
        <v>131.4</v>
      </c>
      <c r="AE102" s="65">
        <v>131.6</v>
      </c>
      <c r="AF102" s="65">
        <v>131.6</v>
      </c>
      <c r="AG102" s="104"/>
      <c r="AH102" s="47">
        <f t="shared" si="13"/>
        <v>1285.2</v>
      </c>
      <c r="AI102" s="48">
        <f t="shared" si="14"/>
        <v>127.5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3"/>
        <v>0</v>
      </c>
      <c r="AI103" s="48">
        <f t="shared" si="14"/>
        <v>0</v>
      </c>
    </row>
    <row r="104" spans="1:37" x14ac:dyDescent="0.25">
      <c r="A104" s="105" t="s">
        <v>108</v>
      </c>
      <c r="B104" s="106">
        <v>134</v>
      </c>
      <c r="C104" s="106">
        <v>134</v>
      </c>
      <c r="D104" s="106">
        <v>136</v>
      </c>
      <c r="E104" s="106">
        <v>135.19999999999999</v>
      </c>
      <c r="F104" s="106">
        <v>135.9</v>
      </c>
      <c r="G104" s="106">
        <v>135.69999999999999</v>
      </c>
      <c r="H104" s="106">
        <v>136.9</v>
      </c>
      <c r="I104" s="106">
        <v>136.4</v>
      </c>
      <c r="J104" s="106">
        <v>135</v>
      </c>
      <c r="K104" s="106">
        <v>132</v>
      </c>
      <c r="L104" s="106">
        <v>133.5</v>
      </c>
      <c r="M104" s="106">
        <v>132.5</v>
      </c>
      <c r="N104" s="106">
        <v>132.5</v>
      </c>
      <c r="O104" s="106">
        <v>134.4</v>
      </c>
      <c r="P104" s="106">
        <v>134.9</v>
      </c>
      <c r="Q104" s="106">
        <v>136.19999999999999</v>
      </c>
      <c r="R104" s="106">
        <v>137</v>
      </c>
      <c r="S104" s="106">
        <v>136</v>
      </c>
      <c r="T104" s="106">
        <v>135</v>
      </c>
      <c r="U104" s="106">
        <v>132.9</v>
      </c>
      <c r="V104" s="106">
        <v>132.9</v>
      </c>
      <c r="W104" s="106">
        <v>132.9</v>
      </c>
      <c r="X104" s="106">
        <v>132.4</v>
      </c>
      <c r="Y104" s="106">
        <v>135.5</v>
      </c>
      <c r="Z104" s="106">
        <v>131.69999999999999</v>
      </c>
      <c r="AA104" s="106">
        <v>132.4</v>
      </c>
      <c r="AB104" s="106">
        <v>134</v>
      </c>
      <c r="AC104" s="106">
        <v>136.19999999999999</v>
      </c>
      <c r="AD104" s="106">
        <v>136.19999999999999</v>
      </c>
      <c r="AE104" s="106">
        <v>135.6</v>
      </c>
      <c r="AF104" s="106">
        <v>135.6</v>
      </c>
      <c r="AG104" s="107"/>
      <c r="AH104" s="47">
        <f t="shared" si="13"/>
        <v>137</v>
      </c>
      <c r="AI104" s="48">
        <f t="shared" si="14"/>
        <v>131.69999999999999</v>
      </c>
    </row>
    <row r="105" spans="1:37" x14ac:dyDescent="0.25">
      <c r="A105" s="103" t="s">
        <v>109</v>
      </c>
      <c r="B105" s="65">
        <v>137</v>
      </c>
      <c r="C105" s="65">
        <v>136</v>
      </c>
      <c r="D105" s="65">
        <v>138</v>
      </c>
      <c r="E105" s="65">
        <v>133.6</v>
      </c>
      <c r="F105" s="65">
        <v>132.19999999999999</v>
      </c>
      <c r="G105" s="65">
        <v>136.19999999999999</v>
      </c>
      <c r="H105" s="65">
        <v>138.1</v>
      </c>
      <c r="I105" s="65">
        <v>136.19999999999999</v>
      </c>
      <c r="J105" s="65">
        <v>129.1</v>
      </c>
      <c r="K105" s="65">
        <v>127</v>
      </c>
      <c r="L105" s="65">
        <v>131.4</v>
      </c>
      <c r="M105" s="65">
        <v>135.69999999999999</v>
      </c>
      <c r="N105" s="65">
        <v>135.69999999999999</v>
      </c>
      <c r="O105" s="65">
        <v>126.6</v>
      </c>
      <c r="P105" s="65">
        <v>129.4</v>
      </c>
      <c r="Q105" s="65">
        <v>130.69999999999999</v>
      </c>
      <c r="R105" s="65">
        <v>133.6</v>
      </c>
      <c r="S105" s="65">
        <v>132</v>
      </c>
      <c r="T105" s="65">
        <v>135</v>
      </c>
      <c r="U105" s="65">
        <v>135.4</v>
      </c>
      <c r="V105" s="65">
        <v>134</v>
      </c>
      <c r="W105" s="65">
        <v>132.5</v>
      </c>
      <c r="X105" s="65">
        <v>128.80000000000001</v>
      </c>
      <c r="Y105" s="65">
        <v>136</v>
      </c>
      <c r="Z105" s="65"/>
      <c r="AA105" s="65">
        <v>130.9</v>
      </c>
      <c r="AB105" s="65">
        <v>133</v>
      </c>
      <c r="AC105" s="65">
        <v>132.9</v>
      </c>
      <c r="AD105" s="65">
        <v>132.9</v>
      </c>
      <c r="AE105" s="65">
        <v>135.4</v>
      </c>
      <c r="AF105" s="65">
        <v>135.4</v>
      </c>
      <c r="AG105" s="104"/>
      <c r="AH105" s="47">
        <f t="shared" si="13"/>
        <v>138.1</v>
      </c>
      <c r="AI105" s="48">
        <f t="shared" si="14"/>
        <v>126.6</v>
      </c>
    </row>
    <row r="106" spans="1:37" ht="15.75" thickBot="1" x14ac:dyDescent="0.3">
      <c r="A106" s="103" t="s">
        <v>110</v>
      </c>
      <c r="B106" s="92">
        <v>67</v>
      </c>
      <c r="C106" s="92">
        <v>67</v>
      </c>
      <c r="D106" s="92">
        <v>68</v>
      </c>
      <c r="E106" s="92">
        <v>68.099999999999994</v>
      </c>
      <c r="F106" s="92">
        <v>67.900000000000006</v>
      </c>
      <c r="G106" s="92">
        <v>67.5</v>
      </c>
      <c r="H106" s="92">
        <v>67.2</v>
      </c>
      <c r="I106" s="92">
        <v>66.900000000000006</v>
      </c>
      <c r="J106" s="92">
        <v>65.5</v>
      </c>
      <c r="K106" s="92">
        <v>65.099999999999994</v>
      </c>
      <c r="L106" s="92">
        <v>64.7</v>
      </c>
      <c r="M106" s="92">
        <v>63.3</v>
      </c>
      <c r="N106" s="92">
        <v>63.3</v>
      </c>
      <c r="O106" s="92">
        <v>64.099999999999994</v>
      </c>
      <c r="P106" s="92">
        <v>64.599999999999994</v>
      </c>
      <c r="Q106" s="92">
        <v>64.400000000000006</v>
      </c>
      <c r="R106" s="92">
        <v>64.599999999999994</v>
      </c>
      <c r="S106" s="92">
        <v>65.2</v>
      </c>
      <c r="T106" s="92">
        <v>64.400000000000006</v>
      </c>
      <c r="U106" s="92">
        <v>64.400000000000006</v>
      </c>
      <c r="V106" s="92">
        <v>64.400000000000006</v>
      </c>
      <c r="W106" s="92">
        <v>64.400000000000006</v>
      </c>
      <c r="X106" s="92">
        <v>64.400000000000006</v>
      </c>
      <c r="Y106" s="92">
        <v>64.8</v>
      </c>
      <c r="Z106" s="92"/>
      <c r="AA106" s="92">
        <v>65.400000000000006</v>
      </c>
      <c r="AB106" s="92">
        <v>65</v>
      </c>
      <c r="AC106" s="92">
        <v>67</v>
      </c>
      <c r="AD106" s="92">
        <v>67</v>
      </c>
      <c r="AE106" s="92">
        <v>67.2</v>
      </c>
      <c r="AF106" s="92">
        <v>67.2</v>
      </c>
      <c r="AG106" s="108"/>
      <c r="AH106" s="47">
        <f t="shared" si="13"/>
        <v>68.099999999999994</v>
      </c>
      <c r="AI106" s="48">
        <f t="shared" si="14"/>
        <v>63.3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 t="s">
        <v>111</v>
      </c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3"/>
        <v>0</v>
      </c>
      <c r="AI107" s="48">
        <f t="shared" si="14"/>
        <v>0</v>
      </c>
    </row>
    <row r="108" spans="1:37" ht="15.75" thickBot="1" x14ac:dyDescent="0.3">
      <c r="A108" s="110" t="s">
        <v>112</v>
      </c>
      <c r="B108" s="111">
        <f t="shared" ref="B108:AF108" si="25">SUM(B18,B24,B27:B28,B56,B58:B59,B61,B63,B109:B113,B135,B141,B147,B156,B158,B170,B177,B180:B181,B188,B190,B192,B196:B198,B200:B202,B207,B213:B214,B216:B218,B226,B231)</f>
        <v>117.5</v>
      </c>
      <c r="C108" s="111">
        <f t="shared" si="25"/>
        <v>115.34</v>
      </c>
      <c r="D108" s="111">
        <f t="shared" si="25"/>
        <v>105.84</v>
      </c>
      <c r="E108" s="111">
        <f t="shared" si="25"/>
        <v>107.43999999999997</v>
      </c>
      <c r="F108" s="111">
        <f t="shared" si="25"/>
        <v>111.03999999999998</v>
      </c>
      <c r="G108" s="111">
        <f t="shared" si="25"/>
        <v>124.24</v>
      </c>
      <c r="H108" s="111">
        <f t="shared" si="25"/>
        <v>159.44</v>
      </c>
      <c r="I108" s="111">
        <f t="shared" si="25"/>
        <v>184.44000000000003</v>
      </c>
      <c r="J108" s="111">
        <f t="shared" si="25"/>
        <v>225.53999999999996</v>
      </c>
      <c r="K108" s="111">
        <f t="shared" si="25"/>
        <v>264.54000000000002</v>
      </c>
      <c r="L108" s="111">
        <f t="shared" si="25"/>
        <v>291.14000000000004</v>
      </c>
      <c r="M108" s="111">
        <f t="shared" si="25"/>
        <v>301.94</v>
      </c>
      <c r="N108" s="111">
        <f t="shared" si="25"/>
        <v>314.33999999999997</v>
      </c>
      <c r="O108" s="111">
        <f t="shared" si="25"/>
        <v>311.14</v>
      </c>
      <c r="P108" s="111">
        <v>42</v>
      </c>
      <c r="Q108" s="111">
        <f t="shared" si="25"/>
        <v>275.19999999999993</v>
      </c>
      <c r="R108" s="111">
        <f t="shared" si="25"/>
        <v>256.7</v>
      </c>
      <c r="S108" s="111">
        <f t="shared" si="25"/>
        <v>268.39999999999998</v>
      </c>
      <c r="T108" s="111">
        <f t="shared" si="25"/>
        <v>262.39999999999998</v>
      </c>
      <c r="U108" s="111">
        <f t="shared" ref="U108:V108" si="26">SUM(U18,U24,U27:U28,U56,U58:U59,U61,U63,U109:U113,U135,U141,U147,U156,U158,U170,U177,U180:U181,U188,U190,U192,U196:U198,U200:U202,U207,U213:U214,U216:U218,U226,U231)</f>
        <v>262.39999999999998</v>
      </c>
      <c r="V108" s="111">
        <f t="shared" si="26"/>
        <v>342.5</v>
      </c>
      <c r="W108" s="111">
        <f t="shared" si="25"/>
        <v>340.5</v>
      </c>
      <c r="X108" s="111">
        <f t="shared" si="25"/>
        <v>364.19999999999993</v>
      </c>
      <c r="Y108" s="111">
        <f t="shared" si="25"/>
        <v>351</v>
      </c>
      <c r="Z108" s="111">
        <f t="shared" si="25"/>
        <v>342.7</v>
      </c>
      <c r="AA108" s="111">
        <f t="shared" si="25"/>
        <v>337.09999999999997</v>
      </c>
      <c r="AB108" s="111">
        <f t="shared" si="25"/>
        <v>287.7</v>
      </c>
      <c r="AC108" s="111">
        <f t="shared" si="25"/>
        <v>268.2</v>
      </c>
      <c r="AD108" s="111">
        <f t="shared" si="25"/>
        <v>197.59999999999997</v>
      </c>
      <c r="AE108" s="111">
        <f t="shared" si="25"/>
        <v>124.09999999999998</v>
      </c>
      <c r="AF108" s="111">
        <f t="shared" si="25"/>
        <v>137.09999999999997</v>
      </c>
      <c r="AG108" s="112"/>
      <c r="AH108" s="47">
        <f t="shared" si="13"/>
        <v>364.19999999999993</v>
      </c>
      <c r="AI108" s="48">
        <f t="shared" si="14"/>
        <v>42</v>
      </c>
    </row>
    <row r="109" spans="1:37" x14ac:dyDescent="0.25">
      <c r="A109" s="100" t="s">
        <v>113</v>
      </c>
      <c r="B109" s="113">
        <v>-6.7</v>
      </c>
      <c r="C109" s="113">
        <v>-1.8</v>
      </c>
      <c r="D109" s="113">
        <v>-3</v>
      </c>
      <c r="E109" s="113">
        <v>-3.4</v>
      </c>
      <c r="F109" s="113">
        <v>-12.9</v>
      </c>
      <c r="G109" s="113">
        <v>-14.6</v>
      </c>
      <c r="H109" s="113">
        <v>-4</v>
      </c>
      <c r="I109" s="113">
        <v>4.4000000000000004</v>
      </c>
      <c r="J109" s="113">
        <v>2.6</v>
      </c>
      <c r="K109" s="113">
        <v>17.7</v>
      </c>
      <c r="L109" s="113">
        <v>24.5</v>
      </c>
      <c r="M109" s="113">
        <v>13.7</v>
      </c>
      <c r="N109" s="113">
        <v>13.8</v>
      </c>
      <c r="O109" s="113">
        <v>13.2</v>
      </c>
      <c r="P109" s="113">
        <v>10.5</v>
      </c>
      <c r="Q109" s="113">
        <v>8.3000000000000007</v>
      </c>
      <c r="R109" s="113">
        <v>9</v>
      </c>
      <c r="S109" s="113">
        <v>8</v>
      </c>
      <c r="T109" s="113">
        <v>5</v>
      </c>
      <c r="U109" s="113">
        <v>5</v>
      </c>
      <c r="V109" s="113">
        <v>1.1000000000000001</v>
      </c>
      <c r="W109" s="113">
        <v>1.1000000000000001</v>
      </c>
      <c r="X109" s="113">
        <v>19</v>
      </c>
      <c r="Y109" s="113">
        <v>24.9</v>
      </c>
      <c r="Z109" s="113">
        <v>26.9</v>
      </c>
      <c r="AA109" s="113">
        <v>27</v>
      </c>
      <c r="AB109" s="113">
        <v>20.8</v>
      </c>
      <c r="AC109" s="113">
        <v>26.8</v>
      </c>
      <c r="AD109" s="113">
        <v>23</v>
      </c>
      <c r="AE109" s="113">
        <v>7.4</v>
      </c>
      <c r="AF109" s="113">
        <v>2.5</v>
      </c>
      <c r="AG109" s="114">
        <v>75</v>
      </c>
      <c r="AH109" s="47">
        <f t="shared" si="13"/>
        <v>27</v>
      </c>
      <c r="AI109" s="48">
        <f t="shared" si="14"/>
        <v>-14.6</v>
      </c>
    </row>
    <row r="110" spans="1:37" x14ac:dyDescent="0.25">
      <c r="A110" s="103" t="s">
        <v>114</v>
      </c>
      <c r="B110" s="115">
        <v>-11</v>
      </c>
      <c r="C110" s="115">
        <v>-2.8</v>
      </c>
      <c r="D110" s="115">
        <v>-5</v>
      </c>
      <c r="E110" s="115">
        <v>-8.1999999999999993</v>
      </c>
      <c r="F110" s="115">
        <v>-7.9</v>
      </c>
      <c r="G110" s="115">
        <v>-22.3</v>
      </c>
      <c r="H110" s="115">
        <v>-7.9</v>
      </c>
      <c r="I110" s="115">
        <v>3.2</v>
      </c>
      <c r="J110" s="115">
        <v>0</v>
      </c>
      <c r="K110" s="115">
        <v>18.600000000000001</v>
      </c>
      <c r="L110" s="115">
        <v>26.3</v>
      </c>
      <c r="M110" s="115">
        <v>8.6</v>
      </c>
      <c r="N110" s="115">
        <v>13.2</v>
      </c>
      <c r="O110" s="115">
        <v>12.3</v>
      </c>
      <c r="P110" s="115">
        <v>9.9</v>
      </c>
      <c r="Q110" s="115">
        <v>7.1</v>
      </c>
      <c r="R110" s="115">
        <v>9.6</v>
      </c>
      <c r="S110" s="115">
        <v>9</v>
      </c>
      <c r="T110" s="115">
        <v>2</v>
      </c>
      <c r="U110" s="115">
        <v>2</v>
      </c>
      <c r="V110" s="115">
        <v>-1.1000000000000001</v>
      </c>
      <c r="W110" s="115">
        <v>-0.1</v>
      </c>
      <c r="X110" s="115">
        <v>15.7</v>
      </c>
      <c r="Y110" s="115">
        <v>25.8</v>
      </c>
      <c r="Z110" s="115">
        <v>29.9</v>
      </c>
      <c r="AA110" s="115">
        <v>28.9</v>
      </c>
      <c r="AB110" s="115">
        <v>20.8</v>
      </c>
      <c r="AC110" s="115">
        <v>29.9</v>
      </c>
      <c r="AD110" s="115">
        <v>26</v>
      </c>
      <c r="AE110" s="115">
        <v>6.7</v>
      </c>
      <c r="AF110" s="115">
        <v>0.6</v>
      </c>
      <c r="AG110" s="114">
        <v>240</v>
      </c>
      <c r="AH110" s="47">
        <f t="shared" si="13"/>
        <v>29.9</v>
      </c>
      <c r="AI110" s="48">
        <f t="shared" si="14"/>
        <v>-22.3</v>
      </c>
    </row>
    <row r="111" spans="1:37" x14ac:dyDescent="0.25">
      <c r="A111" s="103" t="s">
        <v>115</v>
      </c>
      <c r="B111" s="115">
        <v>-19</v>
      </c>
      <c r="C111" s="115">
        <v>-27</v>
      </c>
      <c r="D111" s="115">
        <v>-28</v>
      </c>
      <c r="E111" s="115">
        <v>-25</v>
      </c>
      <c r="F111" s="115">
        <v>-20</v>
      </c>
      <c r="G111" s="115">
        <v>-7</v>
      </c>
      <c r="H111" s="115">
        <v>-1.5</v>
      </c>
      <c r="I111" s="115">
        <v>2.7</v>
      </c>
      <c r="J111" s="115">
        <v>21</v>
      </c>
      <c r="K111" s="115">
        <v>21.3</v>
      </c>
      <c r="L111" s="115">
        <v>26</v>
      </c>
      <c r="M111" s="115">
        <f>28+30</f>
        <v>58</v>
      </c>
      <c r="N111" s="115">
        <v>60</v>
      </c>
      <c r="O111" s="115">
        <v>62</v>
      </c>
      <c r="P111" s="115">
        <v>59.9</v>
      </c>
      <c r="Q111" s="115">
        <v>62.3</v>
      </c>
      <c r="R111" s="115">
        <v>50.2</v>
      </c>
      <c r="S111" s="115">
        <v>50</v>
      </c>
      <c r="T111" s="115">
        <v>60</v>
      </c>
      <c r="U111" s="115">
        <v>60</v>
      </c>
      <c r="V111" s="115">
        <f>17.2+18.3</f>
        <v>35.5</v>
      </c>
      <c r="W111" s="115">
        <f t="shared" ref="W111:X111" si="27">17.2+18.3</f>
        <v>35.5</v>
      </c>
      <c r="X111" s="115">
        <f t="shared" si="27"/>
        <v>35.5</v>
      </c>
      <c r="Y111" s="115">
        <v>69.199999999999989</v>
      </c>
      <c r="Z111" s="115">
        <f>28.6+30.4</f>
        <v>59</v>
      </c>
      <c r="AA111" s="115">
        <f>27.8+29.7</f>
        <v>57.5</v>
      </c>
      <c r="AB111" s="115">
        <v>48</v>
      </c>
      <c r="AC111" s="115">
        <v>27</v>
      </c>
      <c r="AD111" s="115">
        <v>-24</v>
      </c>
      <c r="AE111" s="115">
        <v>-28</v>
      </c>
      <c r="AF111" s="115">
        <v>20.2</v>
      </c>
      <c r="AG111" s="114">
        <v>240</v>
      </c>
      <c r="AH111" s="47">
        <f t="shared" si="13"/>
        <v>69.199999999999989</v>
      </c>
      <c r="AI111" s="48">
        <f t="shared" si="14"/>
        <v>-28</v>
      </c>
    </row>
    <row r="112" spans="1:37" x14ac:dyDescent="0.25">
      <c r="A112" s="103" t="s">
        <v>116</v>
      </c>
      <c r="B112" s="115">
        <v>10.3</v>
      </c>
      <c r="C112" s="115">
        <v>9.1</v>
      </c>
      <c r="D112" s="115">
        <v>9</v>
      </c>
      <c r="E112" s="115">
        <v>8.8000000000000007</v>
      </c>
      <c r="F112" s="115">
        <v>8.1999999999999993</v>
      </c>
      <c r="G112" s="115">
        <v>9.9</v>
      </c>
      <c r="H112" s="115">
        <v>12.3</v>
      </c>
      <c r="I112" s="115">
        <v>13.9</v>
      </c>
      <c r="J112" s="115">
        <v>17.399999999999999</v>
      </c>
      <c r="K112" s="115">
        <v>19.3</v>
      </c>
      <c r="L112" s="115">
        <v>20.3</v>
      </c>
      <c r="M112" s="115">
        <v>23.6</v>
      </c>
      <c r="N112" s="115">
        <v>24.5</v>
      </c>
      <c r="O112" s="115">
        <v>25</v>
      </c>
      <c r="P112" s="115">
        <v>25.5</v>
      </c>
      <c r="Q112" s="115">
        <v>24</v>
      </c>
      <c r="R112" s="115">
        <v>22.6</v>
      </c>
      <c r="S112" s="115">
        <v>21</v>
      </c>
      <c r="T112" s="115">
        <v>22</v>
      </c>
      <c r="U112" s="115">
        <v>22</v>
      </c>
      <c r="V112" s="115">
        <v>100.7</v>
      </c>
      <c r="W112" s="115">
        <v>100.7</v>
      </c>
      <c r="X112" s="115">
        <v>100.7</v>
      </c>
      <c r="Y112" s="115">
        <v>27.8</v>
      </c>
      <c r="Z112" s="115">
        <v>27.9</v>
      </c>
      <c r="AA112" s="115">
        <v>27.6</v>
      </c>
      <c r="AB112" s="115">
        <v>23.5</v>
      </c>
      <c r="AC112" s="115">
        <v>20.3</v>
      </c>
      <c r="AD112" s="115">
        <v>19.399999999999999</v>
      </c>
      <c r="AE112" s="115">
        <v>16.3</v>
      </c>
      <c r="AF112" s="115">
        <v>12.3</v>
      </c>
      <c r="AG112" s="114">
        <v>60</v>
      </c>
      <c r="AH112" s="47">
        <f t="shared" si="13"/>
        <v>100.7</v>
      </c>
      <c r="AI112" s="48">
        <f t="shared" si="14"/>
        <v>8.1999999999999993</v>
      </c>
    </row>
    <row r="113" spans="1:37" x14ac:dyDescent="0.25">
      <c r="A113" s="116" t="s">
        <v>117</v>
      </c>
      <c r="B113" s="117">
        <v>52</v>
      </c>
      <c r="C113" s="117">
        <v>43</v>
      </c>
      <c r="D113" s="117">
        <v>38</v>
      </c>
      <c r="E113" s="117">
        <v>40.9</v>
      </c>
      <c r="F113" s="117">
        <v>48.3</v>
      </c>
      <c r="G113" s="117">
        <v>62.9</v>
      </c>
      <c r="H113" s="117">
        <v>65.2</v>
      </c>
      <c r="I113" s="117">
        <v>66.7</v>
      </c>
      <c r="J113" s="117">
        <v>90.8</v>
      </c>
      <c r="K113" s="117">
        <v>91.8</v>
      </c>
      <c r="L113" s="117">
        <v>98.2</v>
      </c>
      <c r="M113" s="117">
        <v>102.2</v>
      </c>
      <c r="N113" s="117">
        <v>107</v>
      </c>
      <c r="O113" s="117">
        <v>102.8</v>
      </c>
      <c r="P113" s="117">
        <v>89.2</v>
      </c>
      <c r="Q113" s="117">
        <v>80.099999999999994</v>
      </c>
      <c r="R113" s="117">
        <v>71.900000000000006</v>
      </c>
      <c r="S113" s="117">
        <v>74</v>
      </c>
      <c r="T113" s="117">
        <v>67</v>
      </c>
      <c r="U113" s="117">
        <v>67</v>
      </c>
      <c r="V113" s="117">
        <v>99.9</v>
      </c>
      <c r="W113" s="117">
        <v>99.9</v>
      </c>
      <c r="X113" s="117">
        <v>99.9</v>
      </c>
      <c r="Y113" s="117">
        <v>109.4</v>
      </c>
      <c r="Z113" s="117">
        <v>105.1</v>
      </c>
      <c r="AA113" s="117">
        <v>102.2</v>
      </c>
      <c r="AB113" s="117">
        <v>80.7</v>
      </c>
      <c r="AC113" s="117">
        <v>70.3</v>
      </c>
      <c r="AD113" s="117">
        <v>59.3</v>
      </c>
      <c r="AE113" s="117">
        <v>27.8</v>
      </c>
      <c r="AF113" s="117">
        <v>7.6</v>
      </c>
      <c r="AG113" s="118">
        <v>120</v>
      </c>
      <c r="AH113" s="47">
        <f t="shared" si="13"/>
        <v>109.4</v>
      </c>
      <c r="AI113" s="48">
        <f t="shared" si="14"/>
        <v>7.6</v>
      </c>
    </row>
    <row r="114" spans="1:37" x14ac:dyDescent="0.25">
      <c r="A114" s="116" t="s">
        <v>118</v>
      </c>
      <c r="B114" s="117">
        <v>56</v>
      </c>
      <c r="C114" s="117">
        <v>45</v>
      </c>
      <c r="D114" s="117">
        <v>42</v>
      </c>
      <c r="E114" s="117">
        <v>40.9</v>
      </c>
      <c r="F114" s="117">
        <v>48.9</v>
      </c>
      <c r="G114" s="117">
        <v>59.8</v>
      </c>
      <c r="H114" s="117">
        <v>59.3</v>
      </c>
      <c r="I114" s="117">
        <v>57.9</v>
      </c>
      <c r="J114" s="117">
        <v>73.400000000000006</v>
      </c>
      <c r="K114" s="117">
        <v>70</v>
      </c>
      <c r="L114" s="117">
        <v>71.5</v>
      </c>
      <c r="M114" s="117">
        <v>90.7</v>
      </c>
      <c r="N114" s="117">
        <v>94.2</v>
      </c>
      <c r="O114" s="117">
        <v>93.6</v>
      </c>
      <c r="P114" s="117">
        <v>85.5</v>
      </c>
      <c r="Q114" s="117">
        <v>85</v>
      </c>
      <c r="R114" s="117">
        <v>49.1</v>
      </c>
      <c r="S114" s="117">
        <v>85</v>
      </c>
      <c r="T114" s="117">
        <v>93</v>
      </c>
      <c r="U114" s="117">
        <v>93</v>
      </c>
      <c r="V114" s="117">
        <v>73.2</v>
      </c>
      <c r="W114" s="117">
        <v>73.2</v>
      </c>
      <c r="X114" s="117">
        <v>73.2</v>
      </c>
      <c r="Y114" s="117">
        <v>98.7</v>
      </c>
      <c r="Z114" s="117">
        <v>81.400000000000006</v>
      </c>
      <c r="AA114" s="117">
        <v>80.8</v>
      </c>
      <c r="AB114" s="117">
        <v>74.8</v>
      </c>
      <c r="AC114" s="117">
        <v>43.6</v>
      </c>
      <c r="AD114" s="117">
        <v>46.7</v>
      </c>
      <c r="AE114" s="117">
        <v>56.6</v>
      </c>
      <c r="AF114" s="117">
        <v>67.400000000000006</v>
      </c>
      <c r="AG114" s="118"/>
      <c r="AH114" s="47">
        <f t="shared" si="13"/>
        <v>98.7</v>
      </c>
      <c r="AI114" s="48">
        <f t="shared" si="14"/>
        <v>40.9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>
        <v>14.4</v>
      </c>
      <c r="AB115" s="117"/>
      <c r="AC115" s="117"/>
      <c r="AD115" s="117">
        <v>11.5</v>
      </c>
      <c r="AE115" s="117"/>
      <c r="AF115" s="117"/>
      <c r="AG115" s="119"/>
      <c r="AH115" s="47">
        <f t="shared" si="13"/>
        <v>14.4</v>
      </c>
      <c r="AI115" s="48">
        <f t="shared" si="14"/>
        <v>11.5</v>
      </c>
    </row>
    <row r="116" spans="1:37" x14ac:dyDescent="0.25">
      <c r="A116" s="120" t="s">
        <v>120</v>
      </c>
      <c r="B116" s="106">
        <v>12</v>
      </c>
      <c r="C116" s="106">
        <v>14</v>
      </c>
      <c r="D116" s="106">
        <v>18</v>
      </c>
      <c r="E116" s="106">
        <v>19.5</v>
      </c>
      <c r="F116" s="106">
        <v>19.3</v>
      </c>
      <c r="G116" s="106">
        <v>11.4</v>
      </c>
      <c r="H116" s="106">
        <v>4</v>
      </c>
      <c r="I116" s="106">
        <v>-7</v>
      </c>
      <c r="J116" s="106">
        <v>-25.2</v>
      </c>
      <c r="K116" s="106">
        <v>-35</v>
      </c>
      <c r="L116" s="106">
        <v>45.8</v>
      </c>
      <c r="M116" s="106">
        <v>-56</v>
      </c>
      <c r="N116" s="106">
        <v>-52.6</v>
      </c>
      <c r="O116" s="106">
        <v>-40</v>
      </c>
      <c r="P116" s="106">
        <v>-35.9</v>
      </c>
      <c r="Q116" s="106">
        <v>-28</v>
      </c>
      <c r="R116" s="106">
        <v>-27.1</v>
      </c>
      <c r="S116" s="106">
        <v>-28</v>
      </c>
      <c r="T116" s="106">
        <v>-33</v>
      </c>
      <c r="U116" s="106">
        <v>-33</v>
      </c>
      <c r="V116" s="106">
        <v>-34.299999999999997</v>
      </c>
      <c r="W116" s="106">
        <v>-34.299999999999997</v>
      </c>
      <c r="X116" s="106">
        <v>-34.299999999999997</v>
      </c>
      <c r="Y116" s="106">
        <v>-70.5</v>
      </c>
      <c r="Z116" s="106">
        <v>-44.1</v>
      </c>
      <c r="AA116" s="106">
        <v>-68.599999999999994</v>
      </c>
      <c r="AB116" s="106">
        <v>-5.7</v>
      </c>
      <c r="AC116" s="106">
        <v>-2.7</v>
      </c>
      <c r="AD116" s="106">
        <v>-4.0999999999999996</v>
      </c>
      <c r="AE116" s="106">
        <v>0</v>
      </c>
      <c r="AF116" s="106">
        <v>3.1</v>
      </c>
      <c r="AG116" s="119"/>
      <c r="AH116" s="47">
        <f t="shared" si="13"/>
        <v>45.8</v>
      </c>
      <c r="AI116" s="48">
        <f t="shared" si="14"/>
        <v>-70.5</v>
      </c>
    </row>
    <row r="117" spans="1:37" ht="15.75" thickBot="1" x14ac:dyDescent="0.3">
      <c r="A117" s="120" t="s">
        <v>121</v>
      </c>
      <c r="B117" s="106">
        <v>23</v>
      </c>
      <c r="C117" s="106">
        <v>24</v>
      </c>
      <c r="D117" s="106">
        <v>20</v>
      </c>
      <c r="E117" s="106">
        <v>22.2</v>
      </c>
      <c r="F117" s="106">
        <v>22.5</v>
      </c>
      <c r="G117" s="106">
        <v>22.8</v>
      </c>
      <c r="H117" s="106">
        <v>27.9</v>
      </c>
      <c r="I117" s="106">
        <v>34.4</v>
      </c>
      <c r="J117" s="106">
        <v>40.5</v>
      </c>
      <c r="K117" s="106">
        <v>49.8</v>
      </c>
      <c r="L117" s="106">
        <v>57.3</v>
      </c>
      <c r="M117" s="106">
        <v>67.400000000000006</v>
      </c>
      <c r="N117" s="106">
        <v>64.599999999999994</v>
      </c>
      <c r="O117" s="106">
        <v>60</v>
      </c>
      <c r="P117" s="106">
        <v>58</v>
      </c>
      <c r="Q117" s="106">
        <v>52.6</v>
      </c>
      <c r="R117" s="106">
        <v>50.1</v>
      </c>
      <c r="S117" s="106">
        <v>50</v>
      </c>
      <c r="T117" s="106">
        <v>49</v>
      </c>
      <c r="U117" s="106">
        <v>49</v>
      </c>
      <c r="V117" s="106">
        <v>47</v>
      </c>
      <c r="W117" s="106">
        <v>47</v>
      </c>
      <c r="X117" s="106">
        <v>47</v>
      </c>
      <c r="Y117" s="106">
        <v>85.2</v>
      </c>
      <c r="Z117" s="106">
        <v>80</v>
      </c>
      <c r="AA117" s="106">
        <v>76.2</v>
      </c>
      <c r="AB117" s="106">
        <v>44.4</v>
      </c>
      <c r="AC117" s="106">
        <v>50.3</v>
      </c>
      <c r="AD117" s="106">
        <v>50</v>
      </c>
      <c r="AE117" s="106">
        <v>43.3</v>
      </c>
      <c r="AF117" s="106">
        <v>38.299999999999997</v>
      </c>
      <c r="AG117" s="119"/>
      <c r="AH117" s="47">
        <f t="shared" si="13"/>
        <v>85.2</v>
      </c>
      <c r="AI117" s="48">
        <f t="shared" si="14"/>
        <v>20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8">SUM(B119:B223)</f>
        <v>0</v>
      </c>
      <c r="C224" s="136">
        <f t="shared" si="28"/>
        <v>0</v>
      </c>
      <c r="D224" s="136">
        <f t="shared" si="28"/>
        <v>0</v>
      </c>
      <c r="E224" s="136">
        <f t="shared" si="28"/>
        <v>0</v>
      </c>
      <c r="F224" s="136">
        <f t="shared" si="28"/>
        <v>0</v>
      </c>
      <c r="G224" s="136">
        <f t="shared" si="28"/>
        <v>0</v>
      </c>
      <c r="H224" s="136">
        <f t="shared" si="28"/>
        <v>0</v>
      </c>
      <c r="I224" s="136">
        <f t="shared" si="28"/>
        <v>0</v>
      </c>
      <c r="J224" s="136">
        <f t="shared" si="28"/>
        <v>0</v>
      </c>
      <c r="K224" s="136">
        <f t="shared" si="28"/>
        <v>0</v>
      </c>
      <c r="L224" s="136">
        <f t="shared" si="28"/>
        <v>0</v>
      </c>
      <c r="M224" s="136">
        <f t="shared" si="28"/>
        <v>0</v>
      </c>
      <c r="N224" s="136">
        <f t="shared" si="28"/>
        <v>0</v>
      </c>
      <c r="O224" s="136">
        <f t="shared" si="28"/>
        <v>0</v>
      </c>
      <c r="P224" s="136">
        <f t="shared" si="28"/>
        <v>0</v>
      </c>
      <c r="Q224" s="136">
        <f t="shared" si="28"/>
        <v>0</v>
      </c>
      <c r="R224" s="136">
        <f t="shared" si="28"/>
        <v>0</v>
      </c>
      <c r="S224" s="136">
        <f t="shared" si="28"/>
        <v>0</v>
      </c>
      <c r="T224" s="136">
        <f t="shared" si="28"/>
        <v>0</v>
      </c>
      <c r="U224" s="136">
        <f t="shared" si="28"/>
        <v>0</v>
      </c>
      <c r="V224" s="136">
        <f t="shared" si="28"/>
        <v>0</v>
      </c>
      <c r="W224" s="136">
        <f t="shared" si="28"/>
        <v>0</v>
      </c>
      <c r="X224" s="136">
        <f t="shared" si="28"/>
        <v>0</v>
      </c>
      <c r="Y224" s="136">
        <f t="shared" si="28"/>
        <v>0</v>
      </c>
      <c r="Z224" s="136">
        <f t="shared" si="28"/>
        <v>0</v>
      </c>
      <c r="AA224" s="136">
        <f t="shared" si="28"/>
        <v>0</v>
      </c>
      <c r="AB224" s="136">
        <f t="shared" si="28"/>
        <v>0</v>
      </c>
      <c r="AC224" s="136">
        <f t="shared" si="28"/>
        <v>0</v>
      </c>
      <c r="AD224" s="136">
        <f t="shared" si="28"/>
        <v>0</v>
      </c>
      <c r="AE224" s="136">
        <f t="shared" si="28"/>
        <v>0</v>
      </c>
      <c r="AF224" s="137">
        <f t="shared" si="28"/>
        <v>0</v>
      </c>
      <c r="AG224" s="138">
        <f t="shared" si="28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9">AF226</f>
        <v>0</v>
      </c>
      <c r="C226" s="140">
        <v>0.3</v>
      </c>
      <c r="D226" s="140">
        <f t="shared" ref="D226:P231" si="30">C226</f>
        <v>0.3</v>
      </c>
      <c r="E226" s="140">
        <f t="shared" si="30"/>
        <v>0.3</v>
      </c>
      <c r="F226" s="140">
        <f t="shared" si="30"/>
        <v>0.3</v>
      </c>
      <c r="G226" s="140">
        <f t="shared" si="30"/>
        <v>0.3</v>
      </c>
      <c r="H226" s="140">
        <f t="shared" si="30"/>
        <v>0.3</v>
      </c>
      <c r="I226" s="140">
        <f t="shared" si="30"/>
        <v>0.3</v>
      </c>
      <c r="J226" s="140">
        <f t="shared" si="30"/>
        <v>0.3</v>
      </c>
      <c r="K226" s="140">
        <f t="shared" si="30"/>
        <v>0.3</v>
      </c>
      <c r="L226" s="140">
        <f t="shared" si="30"/>
        <v>0.3</v>
      </c>
      <c r="M226" s="140">
        <f t="shared" si="30"/>
        <v>0.3</v>
      </c>
      <c r="N226" s="140">
        <f t="shared" si="30"/>
        <v>0.3</v>
      </c>
      <c r="O226" s="140">
        <f t="shared" si="30"/>
        <v>0.3</v>
      </c>
      <c r="P226" s="140">
        <f t="shared" si="30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9"/>
        <v>0</v>
      </c>
      <c r="C227" s="128">
        <v>0.4</v>
      </c>
      <c r="D227" s="128">
        <f t="shared" si="30"/>
        <v>0.4</v>
      </c>
      <c r="E227" s="128">
        <f t="shared" si="30"/>
        <v>0.4</v>
      </c>
      <c r="F227" s="128">
        <f t="shared" si="30"/>
        <v>0.4</v>
      </c>
      <c r="G227" s="128">
        <f t="shared" si="30"/>
        <v>0.4</v>
      </c>
      <c r="H227" s="128">
        <f t="shared" si="30"/>
        <v>0.4</v>
      </c>
      <c r="I227" s="128">
        <f t="shared" si="30"/>
        <v>0.4</v>
      </c>
      <c r="J227" s="128">
        <f t="shared" si="30"/>
        <v>0.4</v>
      </c>
      <c r="K227" s="128">
        <f t="shared" si="30"/>
        <v>0.4</v>
      </c>
      <c r="L227" s="128">
        <f t="shared" si="30"/>
        <v>0.4</v>
      </c>
      <c r="M227" s="128">
        <f t="shared" si="30"/>
        <v>0.4</v>
      </c>
      <c r="N227" s="128">
        <f t="shared" si="30"/>
        <v>0.4</v>
      </c>
      <c r="O227" s="128">
        <f t="shared" si="30"/>
        <v>0.4</v>
      </c>
      <c r="P227" s="128">
        <f t="shared" si="30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9"/>
        <v>0</v>
      </c>
      <c r="C228" s="128">
        <v>1.5</v>
      </c>
      <c r="D228" s="128">
        <f t="shared" si="30"/>
        <v>1.5</v>
      </c>
      <c r="E228" s="128">
        <f t="shared" si="30"/>
        <v>1.5</v>
      </c>
      <c r="F228" s="128">
        <f t="shared" si="30"/>
        <v>1.5</v>
      </c>
      <c r="G228" s="128">
        <f t="shared" si="30"/>
        <v>1.5</v>
      </c>
      <c r="H228" s="128">
        <f t="shared" si="30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30"/>
        <v>1.5</v>
      </c>
      <c r="K228" s="128">
        <f t="shared" ca="1" si="30"/>
        <v>1.5</v>
      </c>
      <c r="L228" s="128">
        <f t="shared" ca="1" si="30"/>
        <v>1.5</v>
      </c>
      <c r="M228" s="128">
        <f t="shared" ca="1" si="30"/>
        <v>1.5</v>
      </c>
      <c r="N228" s="128">
        <f t="shared" ca="1" si="30"/>
        <v>1.5</v>
      </c>
      <c r="O228" s="128">
        <f t="shared" ca="1" si="30"/>
        <v>1.5</v>
      </c>
      <c r="P228" s="128">
        <f t="shared" ca="1" si="30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9"/>
        <v>0</v>
      </c>
      <c r="C229" s="128">
        <v>0.3</v>
      </c>
      <c r="D229" s="128">
        <f t="shared" si="30"/>
        <v>0.3</v>
      </c>
      <c r="E229" s="128">
        <f t="shared" si="30"/>
        <v>0.3</v>
      </c>
      <c r="F229" s="128">
        <f t="shared" si="30"/>
        <v>0.3</v>
      </c>
      <c r="G229" s="128">
        <f t="shared" si="30"/>
        <v>0.3</v>
      </c>
      <c r="H229" s="128">
        <f t="shared" si="30"/>
        <v>0.3</v>
      </c>
      <c r="I229" s="128">
        <f t="shared" si="30"/>
        <v>0.3</v>
      </c>
      <c r="J229" s="128">
        <f t="shared" si="30"/>
        <v>0.3</v>
      </c>
      <c r="K229" s="128">
        <f t="shared" si="30"/>
        <v>0.3</v>
      </c>
      <c r="L229" s="128">
        <f t="shared" si="30"/>
        <v>0.3</v>
      </c>
      <c r="M229" s="128">
        <f t="shared" si="30"/>
        <v>0.3</v>
      </c>
      <c r="N229" s="128">
        <f t="shared" si="30"/>
        <v>0.3</v>
      </c>
      <c r="O229" s="128">
        <f t="shared" si="30"/>
        <v>0.3</v>
      </c>
      <c r="P229" s="128">
        <f t="shared" si="30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9"/>
        <v>0</v>
      </c>
      <c r="C230" s="128">
        <v>0.4</v>
      </c>
      <c r="D230" s="128">
        <f t="shared" si="30"/>
        <v>0.4</v>
      </c>
      <c r="E230" s="128">
        <f t="shared" si="30"/>
        <v>0.4</v>
      </c>
      <c r="F230" s="128">
        <f t="shared" si="30"/>
        <v>0.4</v>
      </c>
      <c r="G230" s="128">
        <f t="shared" si="30"/>
        <v>0.4</v>
      </c>
      <c r="H230" s="128">
        <f t="shared" si="30"/>
        <v>0.4</v>
      </c>
      <c r="I230" s="128">
        <f t="shared" si="30"/>
        <v>0.4</v>
      </c>
      <c r="J230" s="128">
        <f t="shared" si="30"/>
        <v>0.4</v>
      </c>
      <c r="K230" s="128">
        <f t="shared" si="30"/>
        <v>0.4</v>
      </c>
      <c r="L230" s="128">
        <f t="shared" si="30"/>
        <v>0.4</v>
      </c>
      <c r="M230" s="128">
        <f t="shared" si="30"/>
        <v>0.4</v>
      </c>
      <c r="N230" s="128">
        <f t="shared" si="30"/>
        <v>0.4</v>
      </c>
      <c r="O230" s="128">
        <f t="shared" si="30"/>
        <v>0.4</v>
      </c>
      <c r="P230" s="128">
        <f t="shared" si="3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9"/>
        <v>0</v>
      </c>
      <c r="C231" s="132">
        <v>0.64</v>
      </c>
      <c r="D231" s="132">
        <f t="shared" si="30"/>
        <v>0.64</v>
      </c>
      <c r="E231" s="132">
        <f t="shared" si="30"/>
        <v>0.64</v>
      </c>
      <c r="F231" s="132">
        <f t="shared" si="30"/>
        <v>0.64</v>
      </c>
      <c r="G231" s="132">
        <f t="shared" si="30"/>
        <v>0.64</v>
      </c>
      <c r="H231" s="132">
        <f t="shared" si="30"/>
        <v>0.64</v>
      </c>
      <c r="I231" s="132">
        <f t="shared" si="30"/>
        <v>0.64</v>
      </c>
      <c r="J231" s="132">
        <f t="shared" si="30"/>
        <v>0.64</v>
      </c>
      <c r="K231" s="132">
        <f t="shared" si="30"/>
        <v>0.64</v>
      </c>
      <c r="L231" s="132">
        <f t="shared" si="30"/>
        <v>0.64</v>
      </c>
      <c r="M231" s="132">
        <f t="shared" si="30"/>
        <v>0.64</v>
      </c>
      <c r="N231" s="132">
        <f t="shared" si="30"/>
        <v>0.64</v>
      </c>
      <c r="O231" s="132">
        <f t="shared" si="30"/>
        <v>0.64</v>
      </c>
      <c r="P231" s="132">
        <f t="shared" si="30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1">SUM(B226:B231)</f>
        <v>0</v>
      </c>
      <c r="C232" s="136">
        <f t="shared" si="31"/>
        <v>3.54</v>
      </c>
      <c r="D232" s="136">
        <f t="shared" si="31"/>
        <v>3.54</v>
      </c>
      <c r="E232" s="136">
        <f t="shared" si="31"/>
        <v>3.54</v>
      </c>
      <c r="F232" s="136">
        <f t="shared" si="31"/>
        <v>3.54</v>
      </c>
      <c r="G232" s="136">
        <f t="shared" si="31"/>
        <v>3.54</v>
      </c>
      <c r="H232" s="136">
        <f t="shared" si="31"/>
        <v>3.54</v>
      </c>
      <c r="I232" s="136">
        <f t="shared" ca="1" si="31"/>
        <v>3.54</v>
      </c>
      <c r="J232" s="136">
        <f t="shared" ca="1" si="31"/>
        <v>3.54</v>
      </c>
      <c r="K232" s="136">
        <f t="shared" ca="1" si="31"/>
        <v>3.54</v>
      </c>
      <c r="L232" s="136">
        <f t="shared" ca="1" si="31"/>
        <v>3.54</v>
      </c>
      <c r="M232" s="136">
        <f t="shared" ca="1" si="31"/>
        <v>3.54</v>
      </c>
      <c r="N232" s="136">
        <f t="shared" ca="1" si="31"/>
        <v>3.54</v>
      </c>
      <c r="O232" s="136">
        <f t="shared" ca="1" si="31"/>
        <v>3.54</v>
      </c>
      <c r="P232" s="136">
        <f t="shared" ca="1" si="31"/>
        <v>3.54</v>
      </c>
      <c r="Q232" s="136">
        <f t="shared" si="31"/>
        <v>0</v>
      </c>
      <c r="R232" s="136">
        <f t="shared" si="31"/>
        <v>0</v>
      </c>
      <c r="S232" s="136">
        <f t="shared" si="31"/>
        <v>0</v>
      </c>
      <c r="T232" s="136">
        <f t="shared" si="31"/>
        <v>0</v>
      </c>
      <c r="U232" s="136">
        <f t="shared" si="31"/>
        <v>0</v>
      </c>
      <c r="V232" s="136">
        <f t="shared" si="31"/>
        <v>0</v>
      </c>
      <c r="W232" s="136">
        <f t="shared" si="31"/>
        <v>0</v>
      </c>
      <c r="X232" s="136">
        <f t="shared" si="31"/>
        <v>0</v>
      </c>
      <c r="Y232" s="136">
        <f t="shared" si="31"/>
        <v>0</v>
      </c>
      <c r="Z232" s="136">
        <f t="shared" si="31"/>
        <v>0</v>
      </c>
      <c r="AA232" s="136">
        <f t="shared" si="31"/>
        <v>0</v>
      </c>
      <c r="AB232" s="136">
        <f t="shared" si="31"/>
        <v>0</v>
      </c>
      <c r="AC232" s="136">
        <f t="shared" si="31"/>
        <v>0</v>
      </c>
      <c r="AD232" s="136">
        <f t="shared" si="31"/>
        <v>0</v>
      </c>
      <c r="AE232" s="136">
        <f t="shared" si="31"/>
        <v>0</v>
      </c>
      <c r="AF232" s="136">
        <f t="shared" si="31"/>
        <v>0</v>
      </c>
      <c r="AG232" s="145">
        <f t="shared" si="31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1130.04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24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2079/11/24)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2079/11/24)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2">B89</f>
        <v>793.74</v>
      </c>
      <c r="U246" s="170">
        <f t="shared" si="32"/>
        <v>740.14</v>
      </c>
      <c r="V246" s="170">
        <f t="shared" si="32"/>
        <v>693.84</v>
      </c>
      <c r="W246" s="170">
        <f t="shared" si="32"/>
        <v>710.14</v>
      </c>
      <c r="X246" s="170">
        <f t="shared" si="32"/>
        <v>693.04</v>
      </c>
      <c r="Y246" s="170">
        <f t="shared" si="32"/>
        <v>722.34</v>
      </c>
      <c r="Z246" s="170">
        <f t="shared" si="32"/>
        <v>787.84</v>
      </c>
      <c r="AA246" s="170">
        <f t="shared" si="32"/>
        <v>848.34</v>
      </c>
      <c r="AB246" s="170">
        <f t="shared" si="32"/>
        <v>911.34</v>
      </c>
      <c r="AC246" s="170">
        <f t="shared" si="32"/>
        <v>987.83999999999992</v>
      </c>
      <c r="AD246" s="170">
        <f t="shared" si="32"/>
        <v>1062.44</v>
      </c>
      <c r="AE246" s="170">
        <f t="shared" si="32"/>
        <v>1105.24</v>
      </c>
      <c r="AF246" s="170">
        <f t="shared" si="32"/>
        <v>1130.04</v>
      </c>
      <c r="AG246" s="170">
        <f t="shared" si="32"/>
        <v>1112.94</v>
      </c>
      <c r="AH246" s="170">
        <f t="shared" si="32"/>
        <v>1074.24</v>
      </c>
      <c r="AI246" s="170">
        <f t="shared" si="32"/>
        <v>1033.54</v>
      </c>
      <c r="AJ246" s="170">
        <f t="shared" si="32"/>
        <v>993.33999999999992</v>
      </c>
      <c r="AK246" s="170">
        <f t="shared" si="32"/>
        <v>1006.4399999999999</v>
      </c>
      <c r="AL246" s="170">
        <f t="shared" si="32"/>
        <v>986.43999999999994</v>
      </c>
      <c r="AM246" s="170">
        <f t="shared" si="32"/>
        <v>1010.4399999999999</v>
      </c>
      <c r="AN246" s="170">
        <f t="shared" si="32"/>
        <v>1020.54</v>
      </c>
      <c r="AO246" s="170">
        <f t="shared" si="32"/>
        <v>1024.6399999999999</v>
      </c>
      <c r="AP246" s="170">
        <f t="shared" si="32"/>
        <v>1086.24</v>
      </c>
      <c r="AQ246" s="170">
        <f t="shared" si="32"/>
        <v>1259.1400000000001</v>
      </c>
      <c r="AR246" s="170">
        <f t="shared" si="32"/>
        <v>1231.2400000000002</v>
      </c>
      <c r="AS246" s="170">
        <f t="shared" si="32"/>
        <v>1178.1399999999999</v>
      </c>
      <c r="AT246" s="170">
        <f t="shared" si="32"/>
        <v>1052.24</v>
      </c>
      <c r="AU246" s="170">
        <f t="shared" si="32"/>
        <v>992.74</v>
      </c>
      <c r="AV246" s="170">
        <f t="shared" si="32"/>
        <v>987.93999999999994</v>
      </c>
      <c r="AW246" s="170">
        <f t="shared" si="32"/>
        <v>897.64</v>
      </c>
      <c r="AX246" s="170">
        <f t="shared" si="32"/>
        <v>815.24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3">C231</f>
        <v>0.64</v>
      </c>
      <c r="C267" s="173">
        <f t="shared" si="33"/>
        <v>0.64</v>
      </c>
      <c r="D267" s="173">
        <f t="shared" si="33"/>
        <v>0.64</v>
      </c>
      <c r="E267" s="173">
        <f t="shared" si="33"/>
        <v>0.64</v>
      </c>
      <c r="F267" s="173">
        <f t="shared" si="33"/>
        <v>0.64</v>
      </c>
      <c r="G267" s="173">
        <f t="shared" si="33"/>
        <v>0.64</v>
      </c>
      <c r="H267" s="173">
        <f t="shared" si="33"/>
        <v>0.64</v>
      </c>
      <c r="I267" s="173">
        <f t="shared" si="33"/>
        <v>0.64</v>
      </c>
      <c r="J267" s="173">
        <f t="shared" si="33"/>
        <v>0.64</v>
      </c>
      <c r="K267" s="173">
        <f t="shared" si="33"/>
        <v>0.64</v>
      </c>
      <c r="L267" s="173">
        <f t="shared" si="33"/>
        <v>0.64</v>
      </c>
      <c r="M267" s="173">
        <f t="shared" si="33"/>
        <v>0.64</v>
      </c>
      <c r="N267" s="173">
        <f t="shared" si="33"/>
        <v>0.64</v>
      </c>
      <c r="O267" s="173">
        <f t="shared" si="33"/>
        <v>0.64</v>
      </c>
      <c r="P267" s="173">
        <f t="shared" si="33"/>
        <v>0</v>
      </c>
      <c r="Q267" s="173">
        <f t="shared" si="33"/>
        <v>0</v>
      </c>
      <c r="R267" s="173">
        <f t="shared" si="33"/>
        <v>0</v>
      </c>
      <c r="S267" s="173">
        <f t="shared" si="33"/>
        <v>0</v>
      </c>
      <c r="T267" s="173">
        <f t="shared" si="33"/>
        <v>0</v>
      </c>
      <c r="U267" s="173">
        <f t="shared" si="33"/>
        <v>0</v>
      </c>
      <c r="V267" s="173">
        <f t="shared" si="33"/>
        <v>0</v>
      </c>
      <c r="W267" s="173">
        <f t="shared" si="33"/>
        <v>0</v>
      </c>
      <c r="X267" s="173">
        <f t="shared" si="33"/>
        <v>0</v>
      </c>
      <c r="Y267" s="173">
        <f t="shared" si="33"/>
        <v>0</v>
      </c>
      <c r="Z267" s="173">
        <f t="shared" si="33"/>
        <v>0</v>
      </c>
      <c r="AA267" s="173">
        <f t="shared" si="33"/>
        <v>0</v>
      </c>
      <c r="AB267" s="173">
        <f t="shared" si="33"/>
        <v>0</v>
      </c>
      <c r="AC267" s="173">
        <f t="shared" si="33"/>
        <v>0</v>
      </c>
      <c r="AD267" s="173">
        <f t="shared" si="33"/>
        <v>0</v>
      </c>
      <c r="AE267" s="173">
        <f t="shared" si="33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4">IF(B235&lt;100,"",B235-520)</f>
        <v/>
      </c>
      <c r="C268" s="174" t="str">
        <f t="shared" si="34"/>
        <v/>
      </c>
      <c r="D268" s="174" t="str">
        <f t="shared" si="34"/>
        <v/>
      </c>
      <c r="E268" s="174" t="str">
        <f t="shared" si="34"/>
        <v/>
      </c>
      <c r="F268" s="174" t="str">
        <f t="shared" si="34"/>
        <v/>
      </c>
      <c r="G268" s="174" t="str">
        <f t="shared" si="34"/>
        <v/>
      </c>
      <c r="H268" s="174" t="str">
        <f t="shared" si="34"/>
        <v/>
      </c>
      <c r="I268" s="174" t="str">
        <f t="shared" si="34"/>
        <v/>
      </c>
      <c r="J268" s="174" t="str">
        <f t="shared" si="34"/>
        <v/>
      </c>
      <c r="K268" s="174" t="str">
        <f t="shared" si="34"/>
        <v/>
      </c>
      <c r="L268" s="174" t="str">
        <f t="shared" si="34"/>
        <v/>
      </c>
      <c r="M268" s="174" t="str">
        <f t="shared" si="34"/>
        <v/>
      </c>
      <c r="N268" s="174" t="str">
        <f t="shared" si="34"/>
        <v/>
      </c>
      <c r="O268" s="174" t="str">
        <f t="shared" si="34"/>
        <v/>
      </c>
      <c r="P268" s="174" t="str">
        <f t="shared" si="34"/>
        <v/>
      </c>
      <c r="Q268" s="174" t="str">
        <f t="shared" si="34"/>
        <v/>
      </c>
      <c r="R268" s="174" t="str">
        <f t="shared" si="34"/>
        <v/>
      </c>
      <c r="S268" s="174" t="str">
        <f t="shared" si="34"/>
        <v/>
      </c>
      <c r="T268" s="174" t="str">
        <f t="shared" si="34"/>
        <v/>
      </c>
      <c r="U268" s="174" t="str">
        <f t="shared" si="34"/>
        <v/>
      </c>
      <c r="V268" s="174" t="str">
        <f t="shared" si="34"/>
        <v/>
      </c>
      <c r="W268" s="174" t="str">
        <f t="shared" si="34"/>
        <v/>
      </c>
      <c r="X268" s="174" t="str">
        <f t="shared" si="34"/>
        <v/>
      </c>
      <c r="Y268" s="174" t="str">
        <f t="shared" si="34"/>
        <v/>
      </c>
      <c r="Z268" s="174" t="str">
        <f t="shared" si="34"/>
        <v/>
      </c>
      <c r="AA268" s="174" t="str">
        <f t="shared" si="34"/>
        <v/>
      </c>
      <c r="AB268" s="174" t="str">
        <f t="shared" si="34"/>
        <v/>
      </c>
      <c r="AC268" s="174" t="str">
        <f t="shared" si="34"/>
        <v/>
      </c>
      <c r="AD268" s="174" t="str">
        <f t="shared" si="34"/>
        <v/>
      </c>
      <c r="AE268" s="174" t="str">
        <f t="shared" si="34"/>
        <v/>
      </c>
      <c r="AF268" s="174" t="str">
        <f t="shared" si="34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5">IF(B236&lt;100,"",B236-620)</f>
        <v/>
      </c>
      <c r="C269" s="174" t="str">
        <f t="shared" si="35"/>
        <v/>
      </c>
      <c r="D269" s="174" t="str">
        <f t="shared" si="35"/>
        <v/>
      </c>
      <c r="E269" s="174" t="str">
        <f t="shared" si="35"/>
        <v/>
      </c>
      <c r="F269" s="174" t="str">
        <f t="shared" si="35"/>
        <v/>
      </c>
      <c r="G269" s="174" t="str">
        <f t="shared" si="35"/>
        <v/>
      </c>
      <c r="H269" s="174" t="str">
        <f t="shared" si="35"/>
        <v/>
      </c>
      <c r="I269" s="174" t="str">
        <f t="shared" si="35"/>
        <v/>
      </c>
      <c r="J269" s="174" t="str">
        <f t="shared" si="35"/>
        <v/>
      </c>
      <c r="K269" s="174" t="str">
        <f t="shared" si="35"/>
        <v/>
      </c>
      <c r="L269" s="174" t="str">
        <f t="shared" si="35"/>
        <v/>
      </c>
      <c r="M269" s="174" t="str">
        <f t="shared" si="35"/>
        <v/>
      </c>
      <c r="N269" s="174" t="str">
        <f t="shared" si="35"/>
        <v/>
      </c>
      <c r="O269" s="174" t="str">
        <f t="shared" si="35"/>
        <v/>
      </c>
      <c r="P269" s="174" t="str">
        <f t="shared" si="35"/>
        <v/>
      </c>
      <c r="Q269" s="174" t="str">
        <f t="shared" si="35"/>
        <v/>
      </c>
      <c r="R269" s="174" t="str">
        <f t="shared" si="35"/>
        <v/>
      </c>
      <c r="S269" s="174" t="str">
        <f t="shared" si="35"/>
        <v/>
      </c>
      <c r="T269" s="174" t="str">
        <f t="shared" si="35"/>
        <v/>
      </c>
      <c r="U269" s="174" t="str">
        <f t="shared" si="35"/>
        <v/>
      </c>
      <c r="V269" s="174" t="str">
        <f t="shared" si="35"/>
        <v/>
      </c>
      <c r="W269" s="174" t="str">
        <f t="shared" si="35"/>
        <v/>
      </c>
      <c r="X269" s="174" t="str">
        <f t="shared" si="35"/>
        <v/>
      </c>
      <c r="Y269" s="174" t="str">
        <f t="shared" si="35"/>
        <v/>
      </c>
      <c r="Z269" s="174" t="str">
        <f t="shared" si="35"/>
        <v/>
      </c>
      <c r="AA269" s="174" t="str">
        <f t="shared" si="35"/>
        <v/>
      </c>
      <c r="AB269" s="174" t="str">
        <f t="shared" si="35"/>
        <v/>
      </c>
      <c r="AC269" s="174" t="str">
        <f t="shared" si="35"/>
        <v/>
      </c>
      <c r="AD269" s="174" t="str">
        <f t="shared" si="35"/>
        <v/>
      </c>
      <c r="AE269" s="174" t="str">
        <f t="shared" si="35"/>
        <v/>
      </c>
      <c r="AF269" s="174" t="str">
        <f t="shared" si="35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6">IF(B237&lt;100,"",B237-330)</f>
        <v/>
      </c>
      <c r="C270" s="174" t="str">
        <f t="shared" si="36"/>
        <v/>
      </c>
      <c r="D270" s="174" t="str">
        <f t="shared" si="36"/>
        <v/>
      </c>
      <c r="E270" s="174" t="str">
        <f t="shared" si="36"/>
        <v/>
      </c>
      <c r="F270" s="174" t="str">
        <f t="shared" si="36"/>
        <v/>
      </c>
      <c r="G270" s="174" t="str">
        <f t="shared" si="36"/>
        <v/>
      </c>
      <c r="H270" s="174" t="str">
        <f t="shared" si="36"/>
        <v/>
      </c>
      <c r="I270" s="174" t="str">
        <f t="shared" si="36"/>
        <v/>
      </c>
      <c r="J270" s="174" t="str">
        <f t="shared" si="36"/>
        <v/>
      </c>
      <c r="K270" s="174" t="str">
        <f t="shared" si="36"/>
        <v/>
      </c>
      <c r="L270" s="174" t="str">
        <f t="shared" si="36"/>
        <v/>
      </c>
      <c r="M270" s="174" t="str">
        <f t="shared" si="36"/>
        <v/>
      </c>
      <c r="N270" s="174" t="str">
        <f t="shared" si="36"/>
        <v/>
      </c>
      <c r="O270" s="174" t="str">
        <f t="shared" si="36"/>
        <v/>
      </c>
      <c r="P270" s="174" t="str">
        <f t="shared" si="36"/>
        <v/>
      </c>
      <c r="Q270" s="174" t="str">
        <f t="shared" si="36"/>
        <v/>
      </c>
      <c r="R270" s="174" t="str">
        <f t="shared" si="36"/>
        <v/>
      </c>
      <c r="S270" s="174" t="str">
        <f t="shared" si="36"/>
        <v/>
      </c>
      <c r="T270" s="174" t="str">
        <f t="shared" si="36"/>
        <v/>
      </c>
      <c r="U270" s="174" t="str">
        <f t="shared" si="36"/>
        <v/>
      </c>
      <c r="V270" s="174" t="str">
        <f t="shared" si="36"/>
        <v/>
      </c>
      <c r="W270" s="174" t="str">
        <f t="shared" si="36"/>
        <v/>
      </c>
      <c r="X270" s="174" t="str">
        <f t="shared" si="36"/>
        <v/>
      </c>
      <c r="Y270" s="174" t="str">
        <f t="shared" si="36"/>
        <v/>
      </c>
      <c r="Z270" s="174" t="str">
        <f t="shared" si="36"/>
        <v/>
      </c>
      <c r="AA270" s="174" t="str">
        <f t="shared" si="36"/>
        <v/>
      </c>
      <c r="AB270" s="174" t="str">
        <f t="shared" si="36"/>
        <v/>
      </c>
      <c r="AC270" s="174" t="str">
        <f t="shared" si="36"/>
        <v/>
      </c>
      <c r="AD270" s="174" t="str">
        <f t="shared" si="36"/>
        <v/>
      </c>
      <c r="AE270" s="174" t="str">
        <f t="shared" si="36"/>
        <v/>
      </c>
      <c r="AF270" s="174" t="str">
        <f t="shared" si="36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7">IF(B238&lt;100,"",B238-1500)</f>
        <v/>
      </c>
      <c r="C271" s="174" t="str">
        <f t="shared" si="37"/>
        <v/>
      </c>
      <c r="D271" s="174" t="str">
        <f t="shared" si="37"/>
        <v/>
      </c>
      <c r="E271" s="174" t="str">
        <f t="shared" si="37"/>
        <v/>
      </c>
      <c r="F271" s="174" t="str">
        <f t="shared" si="37"/>
        <v/>
      </c>
      <c r="G271" s="174" t="str">
        <f t="shared" si="37"/>
        <v/>
      </c>
      <c r="H271" s="174" t="str">
        <f t="shared" si="37"/>
        <v/>
      </c>
      <c r="I271" s="174" t="str">
        <f t="shared" si="37"/>
        <v/>
      </c>
      <c r="J271" s="174" t="str">
        <f t="shared" si="37"/>
        <v/>
      </c>
      <c r="K271" s="174" t="str">
        <f t="shared" si="37"/>
        <v/>
      </c>
      <c r="L271" s="174" t="str">
        <f t="shared" si="37"/>
        <v/>
      </c>
      <c r="M271" s="174" t="str">
        <f t="shared" si="37"/>
        <v/>
      </c>
      <c r="N271" s="174" t="str">
        <f t="shared" si="37"/>
        <v/>
      </c>
      <c r="O271" s="174" t="str">
        <f t="shared" si="37"/>
        <v/>
      </c>
      <c r="P271" s="174" t="str">
        <f t="shared" si="37"/>
        <v/>
      </c>
      <c r="Q271" s="174" t="str">
        <f t="shared" si="37"/>
        <v/>
      </c>
      <c r="R271" s="174" t="str">
        <f t="shared" si="37"/>
        <v/>
      </c>
      <c r="S271" s="174" t="str">
        <f t="shared" si="37"/>
        <v/>
      </c>
      <c r="T271" s="174" t="str">
        <f t="shared" si="37"/>
        <v/>
      </c>
      <c r="U271" s="174" t="str">
        <f t="shared" si="37"/>
        <v/>
      </c>
      <c r="V271" s="174" t="str">
        <f t="shared" si="37"/>
        <v/>
      </c>
      <c r="W271" s="174" t="str">
        <f t="shared" si="37"/>
        <v/>
      </c>
      <c r="X271" s="174" t="str">
        <f t="shared" si="37"/>
        <v/>
      </c>
      <c r="Y271" s="174" t="str">
        <f t="shared" si="37"/>
        <v/>
      </c>
      <c r="Z271" s="174" t="str">
        <f t="shared" si="37"/>
        <v/>
      </c>
      <c r="AA271" s="174" t="str">
        <f t="shared" si="37"/>
        <v/>
      </c>
      <c r="AB271" s="174" t="str">
        <f t="shared" si="37"/>
        <v/>
      </c>
      <c r="AC271" s="174" t="str">
        <f t="shared" si="37"/>
        <v/>
      </c>
      <c r="AD271" s="174" t="str">
        <f t="shared" si="37"/>
        <v/>
      </c>
      <c r="AE271" s="174" t="str">
        <f t="shared" si="37"/>
        <v/>
      </c>
      <c r="AF271" s="174" t="str">
        <f t="shared" si="37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9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11:AF116 D109:AF109 Y12:AF15 Y17:AF32 Y34:AF43 Y45:AF45">
    <cfRule type="expression" dxfId="3986" priority="388">
      <formula>B$9&gt;=20/24</formula>
    </cfRule>
    <cfRule type="expression" dxfId="3985" priority="389">
      <formula>AND(B$9&gt;=14/24,B$9&lt;20/24)</formula>
    </cfRule>
    <cfRule type="expression" dxfId="3984" priority="390">
      <formula>AND(B$9&gt;=8/24,B$9&lt;14/24)</formula>
    </cfRule>
    <cfRule type="expression" dxfId="3983" priority="391">
      <formula>B$9&lt;8/24</formula>
    </cfRule>
  </conditionalFormatting>
  <conditionalFormatting sqref="AL4:AL6">
    <cfRule type="iconSet" priority="387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3982" priority="386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3981" priority="385">
      <formula>$AH12=0</formula>
    </cfRule>
  </conditionalFormatting>
  <conditionalFormatting sqref="A114">
    <cfRule type="expression" dxfId="3980" priority="384">
      <formula>$AH114=0</formula>
    </cfRule>
  </conditionalFormatting>
  <conditionalFormatting sqref="AL42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979" priority="382">
      <formula>$AH45=0</formula>
    </cfRule>
  </conditionalFormatting>
  <conditionalFormatting sqref="A98">
    <cfRule type="expression" dxfId="3978" priority="381">
      <formula>$AH98=0</formula>
    </cfRule>
  </conditionalFormatting>
  <conditionalFormatting sqref="A18">
    <cfRule type="expression" dxfId="3977" priority="380">
      <formula>$AH18=0</formula>
    </cfRule>
  </conditionalFormatting>
  <conditionalFormatting sqref="A196:A201">
    <cfRule type="expression" dxfId="3976" priority="379">
      <formula>$AH196=0</formula>
    </cfRule>
  </conditionalFormatting>
  <conditionalFormatting sqref="A190:A195">
    <cfRule type="expression" dxfId="3975" priority="378">
      <formula>$AH190=0</formula>
    </cfRule>
  </conditionalFormatting>
  <conditionalFormatting sqref="A58">
    <cfRule type="expression" dxfId="3974" priority="377">
      <formula>$AH58=0</formula>
    </cfRule>
  </conditionalFormatting>
  <conditionalFormatting sqref="A94">
    <cfRule type="expression" dxfId="3973" priority="376">
      <formula>$AH94=0</formula>
    </cfRule>
  </conditionalFormatting>
  <conditionalFormatting sqref="AD99:AF99 E99:X99">
    <cfRule type="expression" dxfId="3972" priority="372">
      <formula>E$9&gt;=20/24</formula>
    </cfRule>
    <cfRule type="expression" dxfId="3971" priority="373">
      <formula>AND(E$9&gt;=14/24,E$9&lt;20/24)</formula>
    </cfRule>
    <cfRule type="expression" dxfId="3970" priority="374">
      <formula>AND(E$9&gt;=8/24,E$9&lt;14/24)</formula>
    </cfRule>
    <cfRule type="expression" dxfId="3969" priority="375">
      <formula>E$9&lt;8/24</formula>
    </cfRule>
  </conditionalFormatting>
  <conditionalFormatting sqref="AL43">
    <cfRule type="iconSet" priority="37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68" priority="394">
      <formula>C$9&gt;=20/24</formula>
    </cfRule>
    <cfRule type="expression" dxfId="3967" priority="395">
      <formula>AND(C$9&gt;=14/24,C$9&lt;20/24)</formula>
    </cfRule>
    <cfRule type="expression" dxfId="3966" priority="396">
      <formula>AND(C$9&gt;=8/24,C$9&lt;14/24)</formula>
    </cfRule>
    <cfRule type="expression" dxfId="3965" priority="397">
      <formula>C$9&lt;8/24</formula>
    </cfRule>
  </conditionalFormatting>
  <conditionalFormatting sqref="A233">
    <cfRule type="expression" dxfId="3964" priority="398">
      <formula>$AH233=0</formula>
    </cfRule>
  </conditionalFormatting>
  <conditionalFormatting sqref="AG245">
    <cfRule type="expression" dxfId="3963" priority="399">
      <formula>B$9&gt;=20/24</formula>
    </cfRule>
    <cfRule type="expression" dxfId="3962" priority="400">
      <formula>AND(B$9&gt;=14/24,B$9&lt;20/24)</formula>
    </cfRule>
    <cfRule type="expression" dxfId="3961" priority="401">
      <formula>AND(B$9&gt;=8/24,B$9&lt;14/24)</formula>
    </cfRule>
    <cfRule type="expression" dxfId="3960" priority="402">
      <formula>B$9&lt;8/24</formula>
    </cfRule>
  </conditionalFormatting>
  <conditionalFormatting sqref="S8">
    <cfRule type="expression" dxfId="3959" priority="367">
      <formula>U$9&gt;=20/24</formula>
    </cfRule>
    <cfRule type="expression" dxfId="3958" priority="368">
      <formula>AND(U$9&gt;=14/24,U$9&lt;20/24)</formula>
    </cfRule>
    <cfRule type="expression" dxfId="3957" priority="369">
      <formula>AND(U$9&gt;=8/24,U$9&lt;14/24)</formula>
    </cfRule>
    <cfRule type="expression" dxfId="3956" priority="370">
      <formula>U$9&lt;8/24</formula>
    </cfRule>
  </conditionalFormatting>
  <conditionalFormatting sqref="AB8">
    <cfRule type="expression" dxfId="3955" priority="363">
      <formula>AD$9&gt;=20/24</formula>
    </cfRule>
    <cfRule type="expression" dxfId="3954" priority="364">
      <formula>AND(AD$9&gt;=14/24,AD$9&lt;20/24)</formula>
    </cfRule>
    <cfRule type="expression" dxfId="3953" priority="365">
      <formula>AND(AD$9&gt;=8/24,AD$9&lt;14/24)</formula>
    </cfRule>
    <cfRule type="expression" dxfId="3952" priority="366">
      <formula>AD$9&lt;8/24</formula>
    </cfRule>
  </conditionalFormatting>
  <conditionalFormatting sqref="AH245:AX245">
    <cfRule type="expression" dxfId="3951" priority="403">
      <formula>AG$9&gt;=20/24</formula>
    </cfRule>
    <cfRule type="expression" dxfId="3950" priority="404">
      <formula>AND(AG$9&gt;=14/24,AG$9&lt;20/24)</formula>
    </cfRule>
    <cfRule type="expression" dxfId="3949" priority="405">
      <formula>AND(AG$9&gt;=8/24,AG$9&lt;14/24)</formula>
    </cfRule>
    <cfRule type="expression" dxfId="3948" priority="406">
      <formula>AG$9&lt;8/24</formula>
    </cfRule>
  </conditionalFormatting>
  <conditionalFormatting sqref="T245">
    <cfRule type="expression" dxfId="3947" priority="407">
      <formula>AX$9&gt;=20/24</formula>
    </cfRule>
    <cfRule type="expression" dxfId="3946" priority="408">
      <formula>AND(AX$9&gt;=14/24,AX$9&lt;20/24)</formula>
    </cfRule>
    <cfRule type="expression" dxfId="3945" priority="409">
      <formula>AND(AX$9&gt;=8/24,AX$9&lt;14/24)</formula>
    </cfRule>
    <cfRule type="expression" dxfId="3944" priority="410">
      <formula>AX$9&lt;8/24</formula>
    </cfRule>
  </conditionalFormatting>
  <conditionalFormatting sqref="A115:A116">
    <cfRule type="expression" dxfId="3943" priority="362">
      <formula>$AH115=0</formula>
    </cfRule>
  </conditionalFormatting>
  <conditionalFormatting sqref="P54:Q60 E71:AF71 R57:X60 AB54:AE55 Y56:AE57 AF54:AF57">
    <cfRule type="expression" dxfId="3942" priority="358">
      <formula>E$9&gt;=20/24</formula>
    </cfRule>
    <cfRule type="expression" dxfId="3941" priority="359">
      <formula>AND(E$9&gt;=14/24,E$9&lt;20/24)</formula>
    </cfRule>
    <cfRule type="expression" dxfId="3940" priority="360">
      <formula>AND(E$9&gt;=8/24,E$9&lt;14/24)</formula>
    </cfRule>
    <cfRule type="expression" dxfId="3939" priority="361">
      <formula>E$9&lt;8/24</formula>
    </cfRule>
  </conditionalFormatting>
  <conditionalFormatting sqref="P53:Q53 AB53:AF53">
    <cfRule type="expression" dxfId="3938" priority="354">
      <formula>P$9&gt;=20/24</formula>
    </cfRule>
    <cfRule type="expression" dxfId="3937" priority="355">
      <formula>AND(P$9&gt;=14/24,P$9&lt;20/24)</formula>
    </cfRule>
    <cfRule type="expression" dxfId="3936" priority="356">
      <formula>AND(P$9&gt;=8/24,P$9&lt;14/24)</formula>
    </cfRule>
    <cfRule type="expression" dxfId="3935" priority="357">
      <formula>P$9&lt;8/24</formula>
    </cfRule>
  </conditionalFormatting>
  <conditionalFormatting sqref="P53:Q60 R57:X60 AB53:AF53 Y56:AE57 AB54:AE55 AF54:AF57">
    <cfRule type="expression" dxfId="3934" priority="353">
      <formula>P53&gt;$AG53</formula>
    </cfRule>
  </conditionalFormatting>
  <conditionalFormatting sqref="M100:X106 X47:AF47 X96:AF96 D86:AF86 X67:AF69 E72:AF73 Y74:AF74 AE100:AF106">
    <cfRule type="expression" dxfId="3933" priority="349">
      <formula>D$9&gt;=20/24</formula>
    </cfRule>
    <cfRule type="expression" dxfId="3932" priority="350">
      <formula>AND(D$9&gt;=14/24,D$9&lt;20/24)</formula>
    </cfRule>
    <cfRule type="expression" dxfId="3931" priority="351">
      <formula>AND(D$9&gt;=8/24,D$9&lt;14/24)</formula>
    </cfRule>
    <cfRule type="expression" dxfId="3930" priority="352">
      <formula>D$9&lt;8/24</formula>
    </cfRule>
  </conditionalFormatting>
  <conditionalFormatting sqref="X47:AF47 X67:AF69">
    <cfRule type="expression" dxfId="3929" priority="348">
      <formula>X47&gt;$AG47</formula>
    </cfRule>
  </conditionalFormatting>
  <conditionalFormatting sqref="R53:X56 Y53:AA55">
    <cfRule type="expression" dxfId="3928" priority="344">
      <formula>R$9&gt;=20/24</formula>
    </cfRule>
    <cfRule type="expression" dxfId="3927" priority="345">
      <formula>AND(R$9&gt;=14/24,R$9&lt;20/24)</formula>
    </cfRule>
    <cfRule type="expression" dxfId="3926" priority="346">
      <formula>AND(R$9&gt;=8/24,R$9&lt;14/24)</formula>
    </cfRule>
    <cfRule type="expression" dxfId="3925" priority="347">
      <formula>R$9&lt;8/24</formula>
    </cfRule>
  </conditionalFormatting>
  <conditionalFormatting sqref="R53:X56 Y53:AA55">
    <cfRule type="expression" dxfId="3924" priority="343">
      <formula>R53&gt;$AG53</formula>
    </cfRule>
  </conditionalFormatting>
  <conditionalFormatting sqref="D88:AF88 C97:AF97">
    <cfRule type="expression" dxfId="3923" priority="339">
      <formula>C$9&gt;=20/24</formula>
    </cfRule>
    <cfRule type="expression" dxfId="3922" priority="340">
      <formula>AND(C$9&gt;=14/24,C$9&lt;20/24)</formula>
    </cfRule>
    <cfRule type="expression" dxfId="3921" priority="341">
      <formula>AND(C$9&gt;=8/24,C$9&lt;14/24)</formula>
    </cfRule>
    <cfRule type="expression" dxfId="3920" priority="342">
      <formula>C$9&lt;8/24</formula>
    </cfRule>
  </conditionalFormatting>
  <conditionalFormatting sqref="T47:W47">
    <cfRule type="expression" dxfId="3919" priority="335">
      <formula>T$9&gt;=20/24</formula>
    </cfRule>
    <cfRule type="expression" dxfId="3918" priority="336">
      <formula>AND(T$9&gt;=14/24,T$9&lt;20/24)</formula>
    </cfRule>
    <cfRule type="expression" dxfId="3917" priority="337">
      <formula>AND(T$9&gt;=8/24,T$9&lt;14/24)</formula>
    </cfRule>
    <cfRule type="expression" dxfId="3916" priority="338">
      <formula>T$9&lt;8/24</formula>
    </cfRule>
  </conditionalFormatting>
  <conditionalFormatting sqref="T47:W47">
    <cfRule type="expression" dxfId="3915" priority="334">
      <formula>T47&gt;$AG47</formula>
    </cfRule>
  </conditionalFormatting>
  <conditionalFormatting sqref="E54:O55 Y46:AF46">
    <cfRule type="expression" dxfId="3914" priority="330">
      <formula>E$9&gt;=20/24</formula>
    </cfRule>
    <cfRule type="expression" dxfId="3913" priority="331">
      <formula>AND(E$9&gt;=14/24,E$9&lt;20/24)</formula>
    </cfRule>
    <cfRule type="expression" dxfId="3912" priority="332">
      <formula>AND(E$9&gt;=8/24,E$9&lt;14/24)</formula>
    </cfRule>
    <cfRule type="expression" dxfId="3911" priority="333">
      <formula>E$9&lt;8/24</formula>
    </cfRule>
  </conditionalFormatting>
  <conditionalFormatting sqref="E53:O53">
    <cfRule type="expression" dxfId="3910" priority="326">
      <formula>E$9&gt;=20/24</formula>
    </cfRule>
    <cfRule type="expression" dxfId="3909" priority="327">
      <formula>AND(E$9&gt;=14/24,E$9&lt;20/24)</formula>
    </cfRule>
    <cfRule type="expression" dxfId="3908" priority="328">
      <formula>AND(E$9&gt;=8/24,E$9&lt;14/24)</formula>
    </cfRule>
    <cfRule type="expression" dxfId="3907" priority="329">
      <formula>E$9&lt;8/24</formula>
    </cfRule>
  </conditionalFormatting>
  <conditionalFormatting sqref="E53:O55 Y46:AF46">
    <cfRule type="expression" dxfId="3906" priority="325">
      <formula>E46&gt;$AG46</formula>
    </cfRule>
  </conditionalFormatting>
  <conditionalFormatting sqref="AG70 AG87 E100:L106 Q67:W69">
    <cfRule type="expression" dxfId="3905" priority="321">
      <formula>E$9&gt;=20/24</formula>
    </cfRule>
    <cfRule type="expression" dxfId="3904" priority="322">
      <formula>AND(E$9&gt;=14/24,E$9&lt;20/24)</formula>
    </cfRule>
    <cfRule type="expression" dxfId="3903" priority="323">
      <formula>AND(E$9&gt;=8/24,E$9&lt;14/24)</formula>
    </cfRule>
    <cfRule type="expression" dxfId="3902" priority="324">
      <formula>E$9&lt;8/24</formula>
    </cfRule>
  </conditionalFormatting>
  <conditionalFormatting sqref="AG48 AG66 AG70 Q67:W69">
    <cfRule type="expression" dxfId="3901" priority="320">
      <formula>Q48&gt;$AG48</formula>
    </cfRule>
  </conditionalFormatting>
  <conditionalFormatting sqref="Y58:AF58">
    <cfRule type="expression" dxfId="3900" priority="316">
      <formula>Y$9&gt;=20/24</formula>
    </cfRule>
    <cfRule type="expression" dxfId="3899" priority="317">
      <formula>AND(Y$9&gt;=14/24,Y$9&lt;20/24)</formula>
    </cfRule>
    <cfRule type="expression" dxfId="3898" priority="318">
      <formula>AND(Y$9&gt;=8/24,Y$9&lt;14/24)</formula>
    </cfRule>
    <cfRule type="expression" dxfId="3897" priority="319">
      <formula>Y$9&lt;8/24</formula>
    </cfRule>
  </conditionalFormatting>
  <conditionalFormatting sqref="Y58:AF58">
    <cfRule type="expression" dxfId="3896" priority="315">
      <formula>Y58&gt;$AG58</formula>
    </cfRule>
  </conditionalFormatting>
  <conditionalFormatting sqref="A43">
    <cfRule type="expression" dxfId="3895" priority="314">
      <formula>$AH43=0</formula>
    </cfRule>
  </conditionalFormatting>
  <conditionalFormatting sqref="X91:AF95">
    <cfRule type="expression" dxfId="3894" priority="310">
      <formula>X$9&gt;=20/24</formula>
    </cfRule>
    <cfRule type="expression" dxfId="3893" priority="311">
      <formula>AND(X$9&gt;=14/24,X$9&lt;20/24)</formula>
    </cfRule>
    <cfRule type="expression" dxfId="3892" priority="312">
      <formula>AND(X$9&gt;=8/24,X$9&lt;14/24)</formula>
    </cfRule>
    <cfRule type="expression" dxfId="3891" priority="313">
      <formula>X$9&lt;8/24</formula>
    </cfRule>
  </conditionalFormatting>
  <conditionalFormatting sqref="AL45 AL41 AL22:AL32 AL38:AL39 AL7:AL15 AL17:AL20 AL34:AL36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3890" priority="306">
      <formula>E$9&gt;=20/24</formula>
    </cfRule>
    <cfRule type="expression" dxfId="3889" priority="307">
      <formula>AND(E$9&gt;=14/24,E$9&lt;20/24)</formula>
    </cfRule>
    <cfRule type="expression" dxfId="3888" priority="308">
      <formula>AND(E$9&gt;=8/24,E$9&lt;14/24)</formula>
    </cfRule>
    <cfRule type="expression" dxfId="3887" priority="309">
      <formula>E$9&lt;8/24</formula>
    </cfRule>
  </conditionalFormatting>
  <conditionalFormatting sqref="E49:AF51">
    <cfRule type="expression" dxfId="3886" priority="305">
      <formula>E49&gt;$AG49</formula>
    </cfRule>
  </conditionalFormatting>
  <conditionalFormatting sqref="AG52">
    <cfRule type="expression" dxfId="3885" priority="301">
      <formula>AG$9&gt;=20/24</formula>
    </cfRule>
    <cfRule type="expression" dxfId="3884" priority="302">
      <formula>AND(AG$9&gt;=14/24,AG$9&lt;20/24)</formula>
    </cfRule>
    <cfRule type="expression" dxfId="3883" priority="303">
      <formula>AND(AG$9&gt;=8/24,AG$9&lt;14/24)</formula>
    </cfRule>
    <cfRule type="expression" dxfId="3882" priority="304">
      <formula>AG$9&lt;8/24</formula>
    </cfRule>
  </conditionalFormatting>
  <conditionalFormatting sqref="AG52">
    <cfRule type="expression" dxfId="3881" priority="300">
      <formula>AG52&gt;$AG52</formula>
    </cfRule>
  </conditionalFormatting>
  <conditionalFormatting sqref="C107:AF107">
    <cfRule type="expression" dxfId="3880" priority="296">
      <formula>C$9&gt;=20/24</formula>
    </cfRule>
    <cfRule type="expression" dxfId="3879" priority="297">
      <formula>AND(C$9&gt;=14/24,C$9&lt;20/24)</formula>
    </cfRule>
    <cfRule type="expression" dxfId="3878" priority="298">
      <formula>AND(C$9&gt;=8/24,C$9&lt;14/24)</formula>
    </cfRule>
    <cfRule type="expression" dxfId="3877" priority="299">
      <formula>C$9&lt;8/24</formula>
    </cfRule>
  </conditionalFormatting>
  <conditionalFormatting sqref="AL40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876" priority="294">
      <formula>$AH40=0</formula>
    </cfRule>
  </conditionalFormatting>
  <conditionalFormatting sqref="A90">
    <cfRule type="expression" dxfId="3875" priority="292">
      <formula>$AH90=0</formula>
    </cfRule>
  </conditionalFormatting>
  <conditionalFormatting sqref="A87">
    <cfRule type="expression" dxfId="3874" priority="293">
      <formula>$AH87=0</formula>
    </cfRule>
  </conditionalFormatting>
  <conditionalFormatting sqref="D110:AF110">
    <cfRule type="expression" dxfId="3873" priority="288">
      <formula>D$9&gt;=20/24</formula>
    </cfRule>
    <cfRule type="expression" dxfId="3872" priority="289">
      <formula>AND(D$9&gt;=14/24,D$9&lt;20/24)</formula>
    </cfRule>
    <cfRule type="expression" dxfId="3871" priority="290">
      <formula>AND(D$9&gt;=8/24,D$9&lt;14/24)</formula>
    </cfRule>
    <cfRule type="expression" dxfId="3870" priority="291">
      <formula>D$9&lt;8/24</formula>
    </cfRule>
  </conditionalFormatting>
  <conditionalFormatting sqref="A110">
    <cfRule type="expression" dxfId="3869" priority="287">
      <formula>$AH110=0</formula>
    </cfRule>
  </conditionalFormatting>
  <conditionalFormatting sqref="A21">
    <cfRule type="expression" dxfId="3868" priority="285">
      <formula>$AH21=0</formula>
    </cfRule>
  </conditionalFormatting>
  <conditionalFormatting sqref="AL21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867" priority="283">
      <formula>$AH37=0</formula>
    </cfRule>
  </conditionalFormatting>
  <conditionalFormatting sqref="AL37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3866" priority="279">
      <formula>Y$9&gt;=20/24</formula>
    </cfRule>
    <cfRule type="expression" dxfId="3865" priority="280">
      <formula>AND(Y$9&gt;=14/24,Y$9&lt;20/24)</formula>
    </cfRule>
    <cfRule type="expression" dxfId="3864" priority="281">
      <formula>AND(Y$9&gt;=8/24,Y$9&lt;14/24)</formula>
    </cfRule>
    <cfRule type="expression" dxfId="3863" priority="282">
      <formula>Y$9&lt;8/24</formula>
    </cfRule>
  </conditionalFormatting>
  <conditionalFormatting sqref="Y100:AD106">
    <cfRule type="expression" dxfId="3862" priority="275">
      <formula>Y$9&gt;=20/24</formula>
    </cfRule>
    <cfRule type="expression" dxfId="3861" priority="276">
      <formula>AND(Y$9&gt;=14/24,Y$9&lt;20/24)</formula>
    </cfRule>
    <cfRule type="expression" dxfId="3860" priority="277">
      <formula>AND(Y$9&gt;=8/24,Y$9&lt;14/24)</formula>
    </cfRule>
    <cfRule type="expression" dxfId="3859" priority="278">
      <formula>Y$9&lt;8/24</formula>
    </cfRule>
  </conditionalFormatting>
  <conditionalFormatting sqref="C109 C111:C116 P17:X18">
    <cfRule type="expression" dxfId="3858" priority="271">
      <formula>C$9&gt;=20/24</formula>
    </cfRule>
    <cfRule type="expression" dxfId="3857" priority="272">
      <formula>AND(C$9&gt;=14/24,C$9&lt;20/24)</formula>
    </cfRule>
    <cfRule type="expression" dxfId="3856" priority="273">
      <formula>AND(C$9&gt;=8/24,C$9&lt;14/24)</formula>
    </cfRule>
    <cfRule type="expression" dxfId="3855" priority="274">
      <formula>C$9&lt;8/24</formula>
    </cfRule>
  </conditionalFormatting>
  <conditionalFormatting sqref="C47:S47">
    <cfRule type="expression" dxfId="3854" priority="267">
      <formula>C$9&gt;=20/24</formula>
    </cfRule>
    <cfRule type="expression" dxfId="3853" priority="268">
      <formula>AND(C$9&gt;=14/24,C$9&lt;20/24)</formula>
    </cfRule>
    <cfRule type="expression" dxfId="3852" priority="269">
      <formula>AND(C$9&gt;=8/24,C$9&lt;14/24)</formula>
    </cfRule>
    <cfRule type="expression" dxfId="3851" priority="270">
      <formula>C$9&lt;8/24</formula>
    </cfRule>
  </conditionalFormatting>
  <conditionalFormatting sqref="C47:S47 P17:X18">
    <cfRule type="expression" dxfId="3850" priority="266">
      <formula>C17&gt;$AG17</formula>
    </cfRule>
  </conditionalFormatting>
  <conditionalFormatting sqref="C99:D99">
    <cfRule type="expression" dxfId="3849" priority="262">
      <formula>C$9&gt;=20/24</formula>
    </cfRule>
    <cfRule type="expression" dxfId="3848" priority="263">
      <formula>AND(C$9&gt;=14/24,C$9&lt;20/24)</formula>
    </cfRule>
    <cfRule type="expression" dxfId="3847" priority="264">
      <formula>AND(C$9&gt;=8/24,C$9&lt;14/24)</formula>
    </cfRule>
    <cfRule type="expression" dxfId="3846" priority="265">
      <formula>C$9&lt;8/24</formula>
    </cfRule>
  </conditionalFormatting>
  <conditionalFormatting sqref="C86 C100:D106 D67:P69 C96:W96 E74:X76 C83:AF85 Y75:AF76">
    <cfRule type="expression" dxfId="3845" priority="249">
      <formula>C$9&gt;=20/24</formula>
    </cfRule>
    <cfRule type="expression" dxfId="3844" priority="250">
      <formula>AND(C$9&gt;=14/24,C$9&lt;20/24)</formula>
    </cfRule>
    <cfRule type="expression" dxfId="3843" priority="251">
      <formula>AND(C$9&gt;=8/24,C$9&lt;14/24)</formula>
    </cfRule>
    <cfRule type="expression" dxfId="3842" priority="252">
      <formula>C$9&lt;8/24</formula>
    </cfRule>
  </conditionalFormatting>
  <conditionalFormatting sqref="D67:P69 E56:L57">
    <cfRule type="expression" dxfId="3841" priority="248">
      <formula>D56&gt;$AG56</formula>
    </cfRule>
  </conditionalFormatting>
  <conditionalFormatting sqref="G58:O58">
    <cfRule type="expression" dxfId="3840" priority="244">
      <formula>G$9&gt;=20/24</formula>
    </cfRule>
    <cfRule type="expression" dxfId="3839" priority="245">
      <formula>AND(G$9&gt;=14/24,G$9&lt;20/24)</formula>
    </cfRule>
    <cfRule type="expression" dxfId="3838" priority="246">
      <formula>AND(G$9&gt;=8/24,G$9&lt;14/24)</formula>
    </cfRule>
    <cfRule type="expression" dxfId="3837" priority="247">
      <formula>G$9&lt;8/24</formula>
    </cfRule>
  </conditionalFormatting>
  <conditionalFormatting sqref="G58:O58">
    <cfRule type="expression" dxfId="3836" priority="243">
      <formula>G58&gt;$AG58</formula>
    </cfRule>
  </conditionalFormatting>
  <conditionalFormatting sqref="B54:D57 B71:D71">
    <cfRule type="expression" dxfId="3835" priority="162">
      <formula>B$9&gt;=20/24</formula>
    </cfRule>
    <cfRule type="expression" dxfId="3834" priority="163">
      <formula>AND(B$9&gt;=14/24,B$9&lt;20/24)</formula>
    </cfRule>
    <cfRule type="expression" dxfId="3833" priority="164">
      <formula>AND(B$9&gt;=8/24,B$9&lt;14/24)</formula>
    </cfRule>
    <cfRule type="expression" dxfId="3832" priority="165">
      <formula>B$9&lt;8/24</formula>
    </cfRule>
  </conditionalFormatting>
  <conditionalFormatting sqref="C70:AF70 C87:AF87 C89:AF89 C98:AF98">
    <cfRule type="expression" dxfId="3831" priority="234">
      <formula>C$9&gt;=20/24</formula>
    </cfRule>
    <cfRule type="expression" dxfId="3830" priority="235">
      <formula>AND(C$9&gt;=14/24,C$9&lt;20/24)</formula>
    </cfRule>
    <cfRule type="expression" dxfId="3829" priority="236">
      <formula>AND(C$9&gt;=8/24,C$9&lt;14/24)</formula>
    </cfRule>
    <cfRule type="expression" dxfId="3828" priority="237">
      <formula>C$9&lt;8/24</formula>
    </cfRule>
  </conditionalFormatting>
  <conditionalFormatting sqref="C48:AF48 C65:AF66 C70:AF70">
    <cfRule type="expression" dxfId="3827" priority="233">
      <formula>C48&gt;$AG48</formula>
    </cfRule>
  </conditionalFormatting>
  <conditionalFormatting sqref="C82:AF82">
    <cfRule type="expression" dxfId="3826" priority="229">
      <formula>C$9&gt;=20/24</formula>
    </cfRule>
    <cfRule type="expression" dxfId="3825" priority="230">
      <formula>AND(C$9&gt;=14/24,C$9&lt;20/24)</formula>
    </cfRule>
    <cfRule type="expression" dxfId="3824" priority="231">
      <formula>AND(C$9&gt;=8/24,C$9&lt;14/24)</formula>
    </cfRule>
    <cfRule type="expression" dxfId="3823" priority="232">
      <formula>C$9&lt;8/24</formula>
    </cfRule>
  </conditionalFormatting>
  <conditionalFormatting sqref="C91:W95">
    <cfRule type="expression" dxfId="3822" priority="225">
      <formula>C$9&gt;=20/24</formula>
    </cfRule>
    <cfRule type="expression" dxfId="3821" priority="226">
      <formula>AND(C$9&gt;=14/24,C$9&lt;20/24)</formula>
    </cfRule>
    <cfRule type="expression" dxfId="3820" priority="227">
      <formula>AND(C$9&gt;=8/24,C$9&lt;14/24)</formula>
    </cfRule>
    <cfRule type="expression" dxfId="3819" priority="228">
      <formula>C$9&lt;8/24</formula>
    </cfRule>
  </conditionalFormatting>
  <conditionalFormatting sqref="C52:AF52">
    <cfRule type="expression" dxfId="3818" priority="216">
      <formula>C$9&gt;=20/24</formula>
    </cfRule>
    <cfRule type="expression" dxfId="3817" priority="217">
      <formula>AND(C$9&gt;=14/24,C$9&lt;20/24)</formula>
    </cfRule>
    <cfRule type="expression" dxfId="3816" priority="218">
      <formula>AND(C$9&gt;=8/24,C$9&lt;14/24)</formula>
    </cfRule>
    <cfRule type="expression" dxfId="3815" priority="219">
      <formula>C$9&lt;8/24</formula>
    </cfRule>
  </conditionalFormatting>
  <conditionalFormatting sqref="C52:AF52">
    <cfRule type="expression" dxfId="3814" priority="215">
      <formula>C52&gt;$AG52</formula>
    </cfRule>
  </conditionalFormatting>
  <conditionalFormatting sqref="B49:D51">
    <cfRule type="expression" dxfId="3813" priority="130">
      <formula>B$9&gt;=20/24</formula>
    </cfRule>
    <cfRule type="expression" dxfId="3812" priority="131">
      <formula>AND(B$9&gt;=14/24,B$9&lt;20/24)</formula>
    </cfRule>
    <cfRule type="expression" dxfId="3811" priority="132">
      <formula>AND(B$9&gt;=8/24,B$9&lt;14/24)</formula>
    </cfRule>
    <cfRule type="expression" dxfId="3810" priority="133">
      <formula>B$9&lt;8/24</formula>
    </cfRule>
  </conditionalFormatting>
  <conditionalFormatting sqref="C110">
    <cfRule type="expression" dxfId="3809" priority="207">
      <formula>C$9&gt;=20/24</formula>
    </cfRule>
    <cfRule type="expression" dxfId="3808" priority="208">
      <formula>AND(C$9&gt;=14/24,C$9&lt;20/24)</formula>
    </cfRule>
    <cfRule type="expression" dxfId="3807" priority="209">
      <formula>AND(C$9&gt;=8/24,C$9&lt;14/24)</formula>
    </cfRule>
    <cfRule type="expression" dxfId="3806" priority="210">
      <formula>C$9&lt;8/24</formula>
    </cfRule>
  </conditionalFormatting>
  <conditionalFormatting sqref="P61:X64 Y59:AF64">
    <cfRule type="expression" dxfId="3805" priority="203">
      <formula>P$9&gt;=20/24</formula>
    </cfRule>
    <cfRule type="expression" dxfId="3804" priority="204">
      <formula>AND(P$9&gt;=14/24,P$9&lt;20/24)</formula>
    </cfRule>
    <cfRule type="expression" dxfId="3803" priority="205">
      <formula>AND(P$9&gt;=8/24,P$9&lt;14/24)</formula>
    </cfRule>
    <cfRule type="expression" dxfId="3802" priority="206">
      <formula>P$9&lt;8/24</formula>
    </cfRule>
  </conditionalFormatting>
  <conditionalFormatting sqref="P61:X64 Y59:AF64">
    <cfRule type="expression" dxfId="3801" priority="202">
      <formula>P59&gt;$AG59</formula>
    </cfRule>
  </conditionalFormatting>
  <conditionalFormatting sqref="P13:X15">
    <cfRule type="expression" dxfId="3800" priority="201">
      <formula>P13&gt;$AG13</formula>
    </cfRule>
  </conditionalFormatting>
  <conditionalFormatting sqref="P12:X12">
    <cfRule type="expression" dxfId="3799" priority="197">
      <formula>P$9&gt;=20/24</formula>
    </cfRule>
    <cfRule type="expression" dxfId="3798" priority="198">
      <formula>AND(P$9&gt;=14/24,P$9&lt;20/24)</formula>
    </cfRule>
    <cfRule type="expression" dxfId="3797" priority="199">
      <formula>AND(P$9&gt;=8/24,P$9&lt;14/24)</formula>
    </cfRule>
    <cfRule type="expression" dxfId="3796" priority="200">
      <formula>P$9&lt;8/24</formula>
    </cfRule>
  </conditionalFormatting>
  <conditionalFormatting sqref="P12:X12">
    <cfRule type="expression" dxfId="3795" priority="196">
      <formula>P12&gt;$AG12</formula>
    </cfRule>
  </conditionalFormatting>
  <conditionalFormatting sqref="P13:X15">
    <cfRule type="expression" dxfId="3794" priority="192">
      <formula>P$9&gt;=20/24</formula>
    </cfRule>
    <cfRule type="expression" dxfId="3793" priority="193">
      <formula>AND(P$9&gt;=14/24,P$9&lt;20/24)</formula>
    </cfRule>
    <cfRule type="expression" dxfId="3792" priority="194">
      <formula>AND(P$9&gt;=8/24,P$9&lt;14/24)</formula>
    </cfRule>
    <cfRule type="expression" dxfId="3791" priority="195">
      <formula>P$9&lt;8/24</formula>
    </cfRule>
  </conditionalFormatting>
  <conditionalFormatting sqref="E77:AF81">
    <cfRule type="expression" dxfId="3790" priority="184">
      <formula>E$9&gt;=20/24</formula>
    </cfRule>
    <cfRule type="expression" dxfId="3789" priority="185">
      <formula>AND(E$9&gt;=14/24,E$9&lt;20/24)</formula>
    </cfRule>
    <cfRule type="expression" dxfId="3788" priority="186">
      <formula>AND(E$9&gt;=8/24,E$9&lt;14/24)</formula>
    </cfRule>
    <cfRule type="expression" dxfId="3787" priority="187">
      <formula>E$9&lt;8/24</formula>
    </cfRule>
  </conditionalFormatting>
  <conditionalFormatting sqref="AL78:AN78 AL84:AN84 AN79:AN80">
    <cfRule type="expression" dxfId="3786" priority="180">
      <formula>AL$9&gt;=20/24</formula>
    </cfRule>
    <cfRule type="expression" dxfId="3785" priority="181">
      <formula>AND(AL$9&gt;=14/24,AL$9&lt;20/24)</formula>
    </cfRule>
    <cfRule type="expression" dxfId="3784" priority="182">
      <formula>AND(AL$9&gt;=8/24,AL$9&lt;14/24)</formula>
    </cfRule>
    <cfRule type="expression" dxfId="3783" priority="183">
      <formula>AL$9&lt;8/24</formula>
    </cfRule>
  </conditionalFormatting>
  <conditionalFormatting sqref="AN81:AN82">
    <cfRule type="expression" dxfId="3782" priority="176">
      <formula>AN$9&gt;=20/24</formula>
    </cfRule>
    <cfRule type="expression" dxfId="3781" priority="177">
      <formula>AND(AN$9&gt;=14/24,AN$9&lt;20/24)</formula>
    </cfRule>
    <cfRule type="expression" dxfId="3780" priority="178">
      <formula>AND(AN$9&gt;=8/24,AN$9&lt;14/24)</formula>
    </cfRule>
    <cfRule type="expression" dxfId="3779" priority="179">
      <formula>AN$9&lt;8/24</formula>
    </cfRule>
  </conditionalFormatting>
  <conditionalFormatting sqref="AL79:AM83">
    <cfRule type="expression" dxfId="3778" priority="412">
      <formula>AJ$9&gt;=20/24</formula>
    </cfRule>
    <cfRule type="expression" dxfId="3777" priority="413">
      <formula>AND(AJ$9&gt;=14/24,AJ$9&lt;20/24)</formula>
    </cfRule>
    <cfRule type="expression" dxfId="3776" priority="414">
      <formula>AND(AJ$9&gt;=8/24,AJ$9&lt;14/24)</formula>
    </cfRule>
    <cfRule type="expression" dxfId="3775" priority="415">
      <formula>AJ$9&lt;8/24</formula>
    </cfRule>
  </conditionalFormatting>
  <conditionalFormatting sqref="A117">
    <cfRule type="expression" dxfId="3774" priority="175">
      <formula>$AH117=0</formula>
    </cfRule>
  </conditionalFormatting>
  <conditionalFormatting sqref="B109 B111:B116 B12:O15 B17:O32 B34:X43 B45:X45 P19:X32">
    <cfRule type="expression" dxfId="3773" priority="171">
      <formula>B$9&gt;=20/24</formula>
    </cfRule>
    <cfRule type="expression" dxfId="3772" priority="172">
      <formula>AND(B$9&gt;=14/24,B$9&lt;20/24)</formula>
    </cfRule>
    <cfRule type="expression" dxfId="3771" priority="173">
      <formula>AND(B$9&gt;=8/24,B$9&lt;14/24)</formula>
    </cfRule>
    <cfRule type="expression" dxfId="3770" priority="174">
      <formula>B$9&lt;8/24</formula>
    </cfRule>
  </conditionalFormatting>
  <conditionalFormatting sqref="B12:O15 B17:O32 B34:X43 B45:X45 P19:X32">
    <cfRule type="expression" dxfId="3769" priority="170">
      <formula>B12&gt;$AG12</formula>
    </cfRule>
  </conditionalFormatting>
  <conditionalFormatting sqref="B99">
    <cfRule type="expression" dxfId="3768" priority="166">
      <formula>B$9&gt;=20/24</formula>
    </cfRule>
    <cfRule type="expression" dxfId="3767" priority="167">
      <formula>AND(B$9&gt;=14/24,B$9&lt;20/24)</formula>
    </cfRule>
    <cfRule type="expression" dxfId="3766" priority="168">
      <formula>AND(B$9&gt;=8/24,B$9&lt;14/24)</formula>
    </cfRule>
    <cfRule type="expression" dxfId="3765" priority="169">
      <formula>B$9&lt;8/24</formula>
    </cfRule>
  </conditionalFormatting>
  <conditionalFormatting sqref="B53:D53">
    <cfRule type="expression" dxfId="3764" priority="158">
      <formula>B$9&gt;=20/24</formula>
    </cfRule>
    <cfRule type="expression" dxfId="3763" priority="159">
      <formula>AND(B$9&gt;=14/24,B$9&lt;20/24)</formula>
    </cfRule>
    <cfRule type="expression" dxfId="3762" priority="160">
      <formula>AND(B$9&gt;=8/24,B$9&lt;14/24)</formula>
    </cfRule>
    <cfRule type="expression" dxfId="3761" priority="161">
      <formula>B$9&lt;8/24</formula>
    </cfRule>
  </conditionalFormatting>
  <conditionalFormatting sqref="B53:D57">
    <cfRule type="expression" dxfId="3760" priority="157">
      <formula>B53&gt;$AG53</formula>
    </cfRule>
  </conditionalFormatting>
  <conditionalFormatting sqref="B96 B100:B106 B86 B47 B67:C69 B72:D74">
    <cfRule type="expression" dxfId="3759" priority="153">
      <formula>B$9&gt;=20/24</formula>
    </cfRule>
    <cfRule type="expression" dxfId="3758" priority="154">
      <formula>AND(B$9&gt;=14/24,B$9&lt;20/24)</formula>
    </cfRule>
    <cfRule type="expression" dxfId="3757" priority="155">
      <formula>AND(B$9&gt;=8/24,B$9&lt;14/24)</formula>
    </cfRule>
    <cfRule type="expression" dxfId="3756" priority="156">
      <formula>B$9&lt;8/24</formula>
    </cfRule>
  </conditionalFormatting>
  <conditionalFormatting sqref="B47 B67:C69">
    <cfRule type="expression" dxfId="3755" priority="152">
      <formula>B47&gt;$AG47</formula>
    </cfRule>
  </conditionalFormatting>
  <conditionalFormatting sqref="B97 B88:C88">
    <cfRule type="expression" dxfId="3754" priority="148">
      <formula>B$9&gt;=20/24</formula>
    </cfRule>
    <cfRule type="expression" dxfId="3753" priority="149">
      <formula>AND(B$9&gt;=14/24,B$9&lt;20/24)</formula>
    </cfRule>
    <cfRule type="expression" dxfId="3752" priority="150">
      <formula>AND(B$9&gt;=8/24,B$9&lt;14/24)</formula>
    </cfRule>
    <cfRule type="expression" dxfId="3751" priority="151">
      <formula>B$9&lt;8/24</formula>
    </cfRule>
  </conditionalFormatting>
  <conditionalFormatting sqref="B46:X46">
    <cfRule type="expression" dxfId="3750" priority="144">
      <formula>B$9&gt;=20/24</formula>
    </cfRule>
    <cfRule type="expression" dxfId="3749" priority="145">
      <formula>AND(B$9&gt;=14/24,B$9&lt;20/24)</formula>
    </cfRule>
    <cfRule type="expression" dxfId="3748" priority="146">
      <formula>AND(B$9&gt;=8/24,B$9&lt;14/24)</formula>
    </cfRule>
    <cfRule type="expression" dxfId="3747" priority="147">
      <formula>B$9&lt;8/24</formula>
    </cfRule>
  </conditionalFormatting>
  <conditionalFormatting sqref="B46:X46">
    <cfRule type="expression" dxfId="3746" priority="143">
      <formula>B46&gt;$AG46</formula>
    </cfRule>
  </conditionalFormatting>
  <conditionalFormatting sqref="B58:F58">
    <cfRule type="expression" dxfId="3745" priority="139">
      <formula>B$9&gt;=20/24</formula>
    </cfRule>
    <cfRule type="expression" dxfId="3744" priority="140">
      <formula>AND(B$9&gt;=14/24,B$9&lt;20/24)</formula>
    </cfRule>
    <cfRule type="expression" dxfId="3743" priority="141">
      <formula>AND(B$9&gt;=8/24,B$9&lt;14/24)</formula>
    </cfRule>
    <cfRule type="expression" dxfId="3742" priority="142">
      <formula>B$9&lt;8/24</formula>
    </cfRule>
  </conditionalFormatting>
  <conditionalFormatting sqref="B58:F58">
    <cfRule type="expression" dxfId="3741" priority="138">
      <formula>B58&gt;$AG58</formula>
    </cfRule>
  </conditionalFormatting>
  <conditionalFormatting sqref="B91:B95">
    <cfRule type="expression" dxfId="3740" priority="134">
      <formula>B$9&gt;=20/24</formula>
    </cfRule>
    <cfRule type="expression" dxfId="3739" priority="135">
      <formula>AND(B$9&gt;=14/24,B$9&lt;20/24)</formula>
    </cfRule>
    <cfRule type="expression" dxfId="3738" priority="136">
      <formula>AND(B$9&gt;=8/24,B$9&lt;14/24)</formula>
    </cfRule>
    <cfRule type="expression" dxfId="3737" priority="137">
      <formula>B$9&lt;8/24</formula>
    </cfRule>
  </conditionalFormatting>
  <conditionalFormatting sqref="B49:D51">
    <cfRule type="expression" dxfId="3736" priority="129">
      <formula>B49&gt;$AG49</formula>
    </cfRule>
  </conditionalFormatting>
  <conditionalFormatting sqref="B107">
    <cfRule type="expression" dxfId="3735" priority="125">
      <formula>B$9&gt;=20/24</formula>
    </cfRule>
    <cfRule type="expression" dxfId="3734" priority="126">
      <formula>AND(B$9&gt;=14/24,B$9&lt;20/24)</formula>
    </cfRule>
    <cfRule type="expression" dxfId="3733" priority="127">
      <formula>AND(B$9&gt;=8/24,B$9&lt;14/24)</formula>
    </cfRule>
    <cfRule type="expression" dxfId="3732" priority="128">
      <formula>B$9&lt;8/24</formula>
    </cfRule>
  </conditionalFormatting>
  <conditionalFormatting sqref="B110">
    <cfRule type="expression" dxfId="3731" priority="121">
      <formula>B$9&gt;=20/24</formula>
    </cfRule>
    <cfRule type="expression" dxfId="3730" priority="122">
      <formula>AND(B$9&gt;=14/24,B$9&lt;20/24)</formula>
    </cfRule>
    <cfRule type="expression" dxfId="3729" priority="123">
      <formula>AND(B$9&gt;=8/24,B$9&lt;14/24)</formula>
    </cfRule>
    <cfRule type="expression" dxfId="3728" priority="124">
      <formula>B$9&lt;8/24</formula>
    </cfRule>
  </conditionalFormatting>
  <conditionalFormatting sqref="B83:B85 B75:D76">
    <cfRule type="expression" dxfId="3727" priority="117">
      <formula>B$9&gt;=20/24</formula>
    </cfRule>
    <cfRule type="expression" dxfId="3726" priority="118">
      <formula>AND(B$9&gt;=14/24,B$9&lt;20/24)</formula>
    </cfRule>
    <cfRule type="expression" dxfId="3725" priority="119">
      <formula>AND(B$9&gt;=8/24,B$9&lt;14/24)</formula>
    </cfRule>
    <cfRule type="expression" dxfId="3724" priority="120">
      <formula>B$9&lt;8/24</formula>
    </cfRule>
  </conditionalFormatting>
  <conditionalFormatting sqref="B89 B98 B70 B87">
    <cfRule type="expression" dxfId="3723" priority="113">
      <formula>B$9&gt;=20/24</formula>
    </cfRule>
    <cfRule type="expression" dxfId="3722" priority="114">
      <formula>AND(B$9&gt;=14/24,B$9&lt;20/24)</formula>
    </cfRule>
    <cfRule type="expression" dxfId="3721" priority="115">
      <formula>AND(B$9&gt;=8/24,B$9&lt;14/24)</formula>
    </cfRule>
    <cfRule type="expression" dxfId="3720" priority="116">
      <formula>B$9&lt;8/24</formula>
    </cfRule>
  </conditionalFormatting>
  <conditionalFormatting sqref="B48 B65:B66 B70">
    <cfRule type="expression" dxfId="3719" priority="112">
      <formula>B48&gt;$AG48</formula>
    </cfRule>
  </conditionalFormatting>
  <conditionalFormatting sqref="B82">
    <cfRule type="expression" dxfId="3718" priority="108">
      <formula>B$9&gt;=20/24</formula>
    </cfRule>
    <cfRule type="expression" dxfId="3717" priority="109">
      <formula>AND(B$9&gt;=14/24,B$9&lt;20/24)</formula>
    </cfRule>
    <cfRule type="expression" dxfId="3716" priority="110">
      <formula>AND(B$9&gt;=8/24,B$9&lt;14/24)</formula>
    </cfRule>
    <cfRule type="expression" dxfId="3715" priority="111">
      <formula>B$9&lt;8/24</formula>
    </cfRule>
  </conditionalFormatting>
  <conditionalFormatting sqref="B52">
    <cfRule type="expression" dxfId="3714" priority="104">
      <formula>B$9&gt;=20/24</formula>
    </cfRule>
    <cfRule type="expression" dxfId="3713" priority="105">
      <formula>AND(B$9&gt;=14/24,B$9&lt;20/24)</formula>
    </cfRule>
    <cfRule type="expression" dxfId="3712" priority="106">
      <formula>AND(B$9&gt;=8/24,B$9&lt;14/24)</formula>
    </cfRule>
    <cfRule type="expression" dxfId="3711" priority="107">
      <formula>B$9&lt;8/24</formula>
    </cfRule>
  </conditionalFormatting>
  <conditionalFormatting sqref="B52">
    <cfRule type="expression" dxfId="3710" priority="103">
      <formula>B52&gt;$AG52</formula>
    </cfRule>
  </conditionalFormatting>
  <conditionalFormatting sqref="B59:O64">
    <cfRule type="expression" dxfId="3709" priority="95">
      <formula>B$9&gt;=20/24</formula>
    </cfRule>
    <cfRule type="expression" dxfId="3708" priority="96">
      <formula>AND(B$9&gt;=14/24,B$9&lt;20/24)</formula>
    </cfRule>
    <cfRule type="expression" dxfId="3707" priority="97">
      <formula>AND(B$9&gt;=8/24,B$9&lt;14/24)</formula>
    </cfRule>
    <cfRule type="expression" dxfId="3706" priority="98">
      <formula>B$9&lt;8/24</formula>
    </cfRule>
  </conditionalFormatting>
  <conditionalFormatting sqref="B59:O64">
    <cfRule type="expression" dxfId="3705" priority="94">
      <formula>B59&gt;$AG59</formula>
    </cfRule>
  </conditionalFormatting>
  <conditionalFormatting sqref="B77:D81">
    <cfRule type="expression" dxfId="3704" priority="90">
      <formula>B$9&gt;=20/24</formula>
    </cfRule>
    <cfRule type="expression" dxfId="3703" priority="91">
      <formula>AND(B$9&gt;=14/24,B$9&lt;20/24)</formula>
    </cfRule>
    <cfRule type="expression" dxfId="3702" priority="92">
      <formula>AND(B$9&gt;=8/24,B$9&lt;14/24)</formula>
    </cfRule>
    <cfRule type="expression" dxfId="3701" priority="93">
      <formula>B$9&lt;8/24</formula>
    </cfRule>
  </conditionalFormatting>
  <conditionalFormatting sqref="Y11:AF11">
    <cfRule type="expression" dxfId="3700" priority="86">
      <formula>Y$9&gt;=20/24</formula>
    </cfRule>
    <cfRule type="expression" dxfId="3699" priority="87">
      <formula>AND(Y$9&gt;=14/24,Y$9&lt;20/24)</formula>
    </cfRule>
    <cfRule type="expression" dxfId="3698" priority="88">
      <formula>AND(Y$9&gt;=8/24,Y$9&lt;14/24)</formula>
    </cfRule>
    <cfRule type="expression" dxfId="3697" priority="89">
      <formula>Y$9&lt;8/24</formula>
    </cfRule>
  </conditionalFormatting>
  <conditionalFormatting sqref="Y11:AF11">
    <cfRule type="expression" dxfId="3696" priority="85">
      <formula>Y11&gt;$AG11</formula>
    </cfRule>
  </conditionalFormatting>
  <conditionalFormatting sqref="A11">
    <cfRule type="expression" dxfId="3695" priority="84">
      <formula>$AH11=0</formula>
    </cfRule>
  </conditionalFormatting>
  <conditionalFormatting sqref="P11:X11">
    <cfRule type="expression" dxfId="3694" priority="80">
      <formula>P$9&gt;=20/24</formula>
    </cfRule>
    <cfRule type="expression" dxfId="3693" priority="81">
      <formula>AND(P$9&gt;=14/24,P$9&lt;20/24)</formula>
    </cfRule>
    <cfRule type="expression" dxfId="3692" priority="82">
      <formula>AND(P$9&gt;=8/24,P$9&lt;14/24)</formula>
    </cfRule>
    <cfRule type="expression" dxfId="3691" priority="83">
      <formula>P$9&lt;8/24</formula>
    </cfRule>
  </conditionalFormatting>
  <conditionalFormatting sqref="P11:X11">
    <cfRule type="expression" dxfId="3690" priority="79">
      <formula>P11&gt;$AG11</formula>
    </cfRule>
  </conditionalFormatting>
  <conditionalFormatting sqref="B11:O11">
    <cfRule type="expression" dxfId="3689" priority="75">
      <formula>B$9&gt;=20/24</formula>
    </cfRule>
    <cfRule type="expression" dxfId="3688" priority="76">
      <formula>AND(B$9&gt;=14/24,B$9&lt;20/24)</formula>
    </cfRule>
    <cfRule type="expression" dxfId="3687" priority="77">
      <formula>AND(B$9&gt;=8/24,B$9&lt;14/24)</formula>
    </cfRule>
    <cfRule type="expression" dxfId="3686" priority="78">
      <formula>B$9&lt;8/24</formula>
    </cfRule>
  </conditionalFormatting>
  <conditionalFormatting sqref="B11:O11">
    <cfRule type="expression" dxfId="3685" priority="74">
      <formula>B11&gt;$AG11</formula>
    </cfRule>
  </conditionalFormatting>
  <conditionalFormatting sqref="Y16:AF16">
    <cfRule type="expression" dxfId="3684" priority="69">
      <formula>Y$9&gt;=20/24</formula>
    </cfRule>
    <cfRule type="expression" dxfId="3683" priority="70">
      <formula>AND(Y$9&gt;=14/24,Y$9&lt;20/24)</formula>
    </cfRule>
    <cfRule type="expression" dxfId="3682" priority="71">
      <formula>AND(Y$9&gt;=8/24,Y$9&lt;14/24)</formula>
    </cfRule>
    <cfRule type="expression" dxfId="3681" priority="72">
      <formula>Y$9&lt;8/24</formula>
    </cfRule>
  </conditionalFormatting>
  <conditionalFormatting sqref="Y16:AF16">
    <cfRule type="expression" dxfId="3680" priority="68">
      <formula>Y16&gt;$AG16</formula>
    </cfRule>
  </conditionalFormatting>
  <conditionalFormatting sqref="A16">
    <cfRule type="expression" dxfId="3679" priority="67">
      <formula>$AH16=0</formula>
    </cfRule>
  </conditionalFormatting>
  <conditionalFormatting sqref="AL16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B16:X16">
    <cfRule type="expression" dxfId="3678" priority="58">
      <formula>B$9&gt;=20/24</formula>
    </cfRule>
    <cfRule type="expression" dxfId="3677" priority="59">
      <formula>AND(B$9&gt;=14/24,B$9&lt;20/24)</formula>
    </cfRule>
    <cfRule type="expression" dxfId="3676" priority="60">
      <formula>AND(B$9&gt;=8/24,B$9&lt;14/24)</formula>
    </cfRule>
    <cfRule type="expression" dxfId="3675" priority="61">
      <formula>B$9&lt;8/24</formula>
    </cfRule>
  </conditionalFormatting>
  <conditionalFormatting sqref="B16:X16">
    <cfRule type="expression" dxfId="3674" priority="57">
      <formula>B16&gt;$AG16</formula>
    </cfRule>
  </conditionalFormatting>
  <conditionalFormatting sqref="Y33:AF33">
    <cfRule type="expression" dxfId="3673" priority="52">
      <formula>Y$9&gt;=20/24</formula>
    </cfRule>
    <cfRule type="expression" dxfId="3672" priority="53">
      <formula>AND(Y$9&gt;=14/24,Y$9&lt;20/24)</formula>
    </cfRule>
    <cfRule type="expression" dxfId="3671" priority="54">
      <formula>AND(Y$9&gt;=8/24,Y$9&lt;14/24)</formula>
    </cfRule>
    <cfRule type="expression" dxfId="3670" priority="55">
      <formula>Y$9&lt;8/24</formula>
    </cfRule>
  </conditionalFormatting>
  <conditionalFormatting sqref="Y33:AF33">
    <cfRule type="expression" dxfId="3669" priority="51">
      <formula>Y33&gt;$AG33</formula>
    </cfRule>
  </conditionalFormatting>
  <conditionalFormatting sqref="A33">
    <cfRule type="expression" dxfId="3668" priority="50">
      <formula>$AH33=0</formula>
    </cfRule>
  </conditionalFormatting>
  <conditionalFormatting sqref="AL3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3667" priority="41">
      <formula>B$9&gt;=20/24</formula>
    </cfRule>
    <cfRule type="expression" dxfId="3666" priority="42">
      <formula>AND(B$9&gt;=14/24,B$9&lt;20/24)</formula>
    </cfRule>
    <cfRule type="expression" dxfId="3665" priority="43">
      <formula>AND(B$9&gt;=8/24,B$9&lt;14/24)</formula>
    </cfRule>
    <cfRule type="expression" dxfId="3664" priority="44">
      <formula>B$9&lt;8/24</formula>
    </cfRule>
  </conditionalFormatting>
  <conditionalFormatting sqref="B33:X33">
    <cfRule type="expression" dxfId="3663" priority="40">
      <formula>B33&gt;$AG33</formula>
    </cfRule>
  </conditionalFormatting>
  <conditionalFormatting sqref="Y44:AF44">
    <cfRule type="expression" dxfId="3662" priority="35">
      <formula>Y$9&gt;=20/24</formula>
    </cfRule>
    <cfRule type="expression" dxfId="3661" priority="36">
      <formula>AND(Y$9&gt;=14/24,Y$9&lt;20/24)</formula>
    </cfRule>
    <cfRule type="expression" dxfId="3660" priority="37">
      <formula>AND(Y$9&gt;=8/24,Y$9&lt;14/24)</formula>
    </cfRule>
    <cfRule type="expression" dxfId="3659" priority="38">
      <formula>Y$9&lt;8/24</formula>
    </cfRule>
  </conditionalFormatting>
  <conditionalFormatting sqref="Y44:AF44">
    <cfRule type="expression" dxfId="3658" priority="34">
      <formula>Y44&gt;$AG44</formula>
    </cfRule>
  </conditionalFormatting>
  <conditionalFormatting sqref="A44">
    <cfRule type="expression" dxfId="3657" priority="33">
      <formula>$AH44=0</formula>
    </cfRule>
  </conditionalFormatting>
  <conditionalFormatting sqref="AL44">
    <cfRule type="iconSet" priority="3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3656" priority="24">
      <formula>B$9&gt;=20/24</formula>
    </cfRule>
    <cfRule type="expression" dxfId="3655" priority="25">
      <formula>AND(B$9&gt;=14/24,B$9&lt;20/24)</formula>
    </cfRule>
    <cfRule type="expression" dxfId="3654" priority="26">
      <formula>AND(B$9&gt;=8/24,B$9&lt;14/24)</formula>
    </cfRule>
    <cfRule type="expression" dxfId="3653" priority="27">
      <formula>B$9&lt;8/24</formula>
    </cfRule>
  </conditionalFormatting>
  <conditionalFormatting sqref="B44:X44">
    <cfRule type="expression" dxfId="3652" priority="23">
      <formula>B44&gt;$AG44</formula>
    </cfRule>
  </conditionalFormatting>
  <conditionalFormatting sqref="B117">
    <cfRule type="expression" dxfId="3651" priority="11">
      <formula>B$9&gt;=20/24</formula>
    </cfRule>
    <cfRule type="expression" dxfId="3650" priority="12">
      <formula>AND(B$9&gt;=14/24,B$9&lt;20/24)</formula>
    </cfRule>
    <cfRule type="expression" dxfId="3649" priority="13">
      <formula>AND(B$9&gt;=8/24,B$9&lt;14/24)</formula>
    </cfRule>
    <cfRule type="expression" dxfId="3648" priority="14">
      <formula>B$9&lt;8/24</formula>
    </cfRule>
  </conditionalFormatting>
  <conditionalFormatting sqref="D117:AF117">
    <cfRule type="expression" dxfId="3647" priority="19">
      <formula>D$9&gt;=20/24</formula>
    </cfRule>
    <cfRule type="expression" dxfId="3646" priority="20">
      <formula>AND(D$9&gt;=14/24,D$9&lt;20/24)</formula>
    </cfRule>
    <cfRule type="expression" dxfId="3645" priority="21">
      <formula>AND(D$9&gt;=8/24,D$9&lt;14/24)</formula>
    </cfRule>
    <cfRule type="expression" dxfId="3644" priority="22">
      <formula>D$9&lt;8/24</formula>
    </cfRule>
  </conditionalFormatting>
  <conditionalFormatting sqref="C117">
    <cfRule type="expression" dxfId="3643" priority="15">
      <formula>C$9&gt;=20/24</formula>
    </cfRule>
    <cfRule type="expression" dxfId="3642" priority="16">
      <formula>AND(C$9&gt;=14/24,C$9&lt;20/24)</formula>
    </cfRule>
    <cfRule type="expression" dxfId="3641" priority="17">
      <formula>AND(C$9&gt;=8/24,C$9&lt;14/24)</formula>
    </cfRule>
    <cfRule type="expression" dxfId="3640" priority="18">
      <formula>C$9&lt;8/24</formula>
    </cfRule>
  </conditionalFormatting>
  <conditionalFormatting sqref="M56:O57">
    <cfRule type="expression" dxfId="3639" priority="7">
      <formula>M$9&gt;=20/24</formula>
    </cfRule>
    <cfRule type="expression" dxfId="3638" priority="8">
      <formula>AND(M$9&gt;=14/24,M$9&lt;20/24)</formula>
    </cfRule>
    <cfRule type="expression" dxfId="3637" priority="9">
      <formula>AND(M$9&gt;=8/24,M$9&lt;14/24)</formula>
    </cfRule>
    <cfRule type="expression" dxfId="3636" priority="10">
      <formula>M$9&lt;8/24</formula>
    </cfRule>
  </conditionalFormatting>
  <conditionalFormatting sqref="M56:O57">
    <cfRule type="expression" dxfId="3635" priority="6">
      <formula>M56&gt;$AG56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1" id="{C9088FBD-8BD4-4197-ADD4-812E2BA61B5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2" id="{F993DF90-E5C7-4370-96B4-81F913B03F8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3" id="{F37B5C66-C22E-485F-9BA5-5248DA49595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4" id="{C43E48D1-FA99-4D54-BF57-A4A19F71EE8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99" id="{FEE4F814-6EE7-4FD3-B934-53BD905E19F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0" id="{77ECFBEB-2BCD-46B3-AC06-7B00728B117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1" id="{A4847902-DB4F-4309-BE8F-88346D5F6E0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2" id="{6DAE30DD-586B-494C-AFD3-2DD12439695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8"/>
  <sheetViews>
    <sheetView topLeftCell="D1" zoomScale="90" zoomScaleNormal="90" workbookViewId="0">
      <pane ySplit="10" topLeftCell="A59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.5703125" style="1" customWidth="1"/>
    <col min="14" max="14" width="7.42578125" style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2079/11/25</v>
      </c>
      <c r="C4" s="208"/>
      <c r="D4" s="208"/>
      <c r="E4" s="209" t="str">
        <f ca="1">"2079/"&amp;"11/"&amp;INT(MID(CELL("filename",G6),FIND("]",CELL("filename",G6))+1,200))</f>
        <v>2079/11/25</v>
      </c>
      <c r="F4" s="209"/>
      <c r="G4" s="209"/>
      <c r="H4" s="209" t="str">
        <f ca="1">TEXT(E4,"dddd")</f>
        <v>Saturday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282.39999999999998</v>
      </c>
      <c r="C5" s="30">
        <f t="shared" si="0"/>
        <v>268.29999999999995</v>
      </c>
      <c r="D5" s="30">
        <f t="shared" si="0"/>
        <v>244</v>
      </c>
      <c r="E5" s="30">
        <f t="shared" si="0"/>
        <v>272.89999999999998</v>
      </c>
      <c r="F5" s="30">
        <f t="shared" si="0"/>
        <v>305.2</v>
      </c>
      <c r="G5" s="30">
        <f t="shared" si="0"/>
        <v>295</v>
      </c>
      <c r="H5" s="30">
        <f t="shared" si="0"/>
        <v>358.9</v>
      </c>
      <c r="I5" s="30">
        <f t="shared" si="0"/>
        <v>405.5</v>
      </c>
      <c r="J5" s="30">
        <f t="shared" si="0"/>
        <v>408.8</v>
      </c>
      <c r="K5" s="30">
        <f t="shared" si="0"/>
        <v>417.9</v>
      </c>
      <c r="L5" s="30">
        <f t="shared" si="0"/>
        <v>417.2</v>
      </c>
      <c r="M5" s="30">
        <f t="shared" si="0"/>
        <v>434</v>
      </c>
      <c r="N5" s="30">
        <f t="shared" si="0"/>
        <v>487.90000000000003</v>
      </c>
      <c r="O5" s="30">
        <f t="shared" si="0"/>
        <v>487.90000000000003</v>
      </c>
      <c r="P5" s="30">
        <f t="shared" si="0"/>
        <v>491.1</v>
      </c>
      <c r="Q5" s="30">
        <f t="shared" si="0"/>
        <v>483.6</v>
      </c>
      <c r="R5" s="30">
        <f t="shared" si="0"/>
        <v>490.1</v>
      </c>
      <c r="S5" s="30">
        <f t="shared" si="0"/>
        <v>505.1</v>
      </c>
      <c r="T5" s="30">
        <f t="shared" si="0"/>
        <v>483</v>
      </c>
      <c r="U5" s="30">
        <f t="shared" si="0"/>
        <v>532.1</v>
      </c>
      <c r="V5" s="30">
        <f t="shared" si="0"/>
        <v>512.20000000000005</v>
      </c>
      <c r="W5" s="30">
        <f t="shared" si="0"/>
        <v>529.79999999999995</v>
      </c>
      <c r="X5" s="30">
        <f t="shared" si="0"/>
        <v>552</v>
      </c>
      <c r="Y5" s="30">
        <f t="shared" si="0"/>
        <v>533</v>
      </c>
      <c r="Z5" s="30">
        <f t="shared" si="0"/>
        <v>484</v>
      </c>
      <c r="AA5" s="30">
        <f t="shared" si="0"/>
        <v>488.9</v>
      </c>
      <c r="AB5" s="30">
        <f t="shared" si="0"/>
        <v>456.8</v>
      </c>
      <c r="AC5" s="30">
        <f t="shared" si="0"/>
        <v>510</v>
      </c>
      <c r="AD5" s="30">
        <f t="shared" si="0"/>
        <v>424.5</v>
      </c>
      <c r="AE5" s="30">
        <f t="shared" si="0"/>
        <v>447</v>
      </c>
      <c r="AF5" s="30">
        <f>B82</f>
        <v>300.8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1206MW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Load=721</v>
      </c>
      <c r="B7" s="35">
        <f t="shared" ref="B7:AF7" si="1">B89</f>
        <v>800.33999999999992</v>
      </c>
      <c r="C7" s="35">
        <f t="shared" si="1"/>
        <v>759.43999999999994</v>
      </c>
      <c r="D7" s="35">
        <f t="shared" si="1"/>
        <v>745.33999999999992</v>
      </c>
      <c r="E7" s="35">
        <f t="shared" si="1"/>
        <v>721.04</v>
      </c>
      <c r="F7" s="35">
        <f t="shared" si="1"/>
        <v>749.93999999999994</v>
      </c>
      <c r="G7" s="35">
        <f t="shared" si="1"/>
        <v>800.94</v>
      </c>
      <c r="H7" s="35">
        <f t="shared" si="1"/>
        <v>816.83999999999992</v>
      </c>
      <c r="I7" s="35">
        <f t="shared" si="1"/>
        <v>944.64</v>
      </c>
      <c r="J7" s="35">
        <f t="shared" si="1"/>
        <v>1050.6399999999999</v>
      </c>
      <c r="K7" s="35">
        <f t="shared" si="1"/>
        <v>1153.24</v>
      </c>
      <c r="L7" s="35">
        <f t="shared" si="1"/>
        <v>1199.3399999999999</v>
      </c>
      <c r="M7" s="35">
        <f t="shared" si="1"/>
        <v>1205.6400000000001</v>
      </c>
      <c r="N7" s="35">
        <f>N89</f>
        <v>1156.9099999999999</v>
      </c>
      <c r="O7" s="35">
        <f t="shared" si="1"/>
        <v>1128.32</v>
      </c>
      <c r="P7" s="35">
        <f t="shared" si="1"/>
        <v>1139.52</v>
      </c>
      <c r="Q7" s="35">
        <f t="shared" si="1"/>
        <v>1149.6199999999999</v>
      </c>
      <c r="R7" s="35">
        <f t="shared" si="1"/>
        <v>1151.42</v>
      </c>
      <c r="S7" s="35">
        <f t="shared" si="1"/>
        <v>1170.92</v>
      </c>
      <c r="T7" s="35">
        <f t="shared" si="1"/>
        <v>1194.7199999999998</v>
      </c>
      <c r="U7" s="35">
        <f t="shared" si="1"/>
        <v>1155.02</v>
      </c>
      <c r="V7" s="35">
        <f t="shared" si="1"/>
        <v>1171.42</v>
      </c>
      <c r="W7" s="35">
        <f t="shared" si="1"/>
        <v>1238.04</v>
      </c>
      <c r="X7" s="35">
        <f t="shared" si="1"/>
        <v>1275.6399999999999</v>
      </c>
      <c r="Y7" s="35">
        <f t="shared" si="1"/>
        <v>1483.8400000000001</v>
      </c>
      <c r="Z7" s="35">
        <f t="shared" si="1"/>
        <v>1496.54</v>
      </c>
      <c r="AA7" s="35">
        <f t="shared" si="1"/>
        <v>1431.54</v>
      </c>
      <c r="AB7" s="35">
        <f t="shared" si="1"/>
        <v>1377.44</v>
      </c>
      <c r="AC7" s="35">
        <f t="shared" si="1"/>
        <v>1341.34</v>
      </c>
      <c r="AD7" s="35">
        <f t="shared" si="1"/>
        <v>1247.1399999999999</v>
      </c>
      <c r="AE7" s="35">
        <f t="shared" si="1"/>
        <v>1104.44</v>
      </c>
      <c r="AF7" s="35">
        <f t="shared" si="1"/>
        <v>1047.54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25</v>
      </c>
      <c r="N11" s="45">
        <v>25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25</v>
      </c>
      <c r="X11" s="45">
        <v>25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0</v>
      </c>
      <c r="AF11" s="45">
        <v>0</v>
      </c>
      <c r="AG11" s="46">
        <v>86</v>
      </c>
      <c r="AH11" s="47">
        <f t="shared" ref="AH11:AH74" si="2">MAX(B11:AF11)</f>
        <v>25</v>
      </c>
      <c r="AI11" s="48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12.4</v>
      </c>
      <c r="C12" s="45">
        <v>12.4</v>
      </c>
      <c r="D12" s="45">
        <v>12.4</v>
      </c>
      <c r="E12" s="45">
        <v>12.4</v>
      </c>
      <c r="F12" s="45">
        <v>12.4</v>
      </c>
      <c r="G12" s="45">
        <v>12.4</v>
      </c>
      <c r="H12" s="45">
        <v>12.4</v>
      </c>
      <c r="I12" s="45">
        <v>12.4</v>
      </c>
      <c r="J12" s="45">
        <v>12.4</v>
      </c>
      <c r="K12" s="45">
        <v>12.4</v>
      </c>
      <c r="L12" s="45">
        <v>12.4</v>
      </c>
      <c r="M12" s="45">
        <v>12.4</v>
      </c>
      <c r="N12" s="45">
        <v>12.4</v>
      </c>
      <c r="O12" s="45">
        <v>15.7</v>
      </c>
      <c r="P12" s="45">
        <v>15.7</v>
      </c>
      <c r="Q12" s="45">
        <v>15.7</v>
      </c>
      <c r="R12" s="45">
        <v>15.7</v>
      </c>
      <c r="S12" s="45">
        <v>15.7</v>
      </c>
      <c r="T12" s="45">
        <v>15.7</v>
      </c>
      <c r="U12" s="45">
        <v>15.7</v>
      </c>
      <c r="V12" s="45">
        <v>15.7</v>
      </c>
      <c r="W12" s="45">
        <v>15.7</v>
      </c>
      <c r="X12" s="45">
        <v>15.7</v>
      </c>
      <c r="Y12" s="45">
        <v>15.7</v>
      </c>
      <c r="Z12" s="45">
        <v>15.7</v>
      </c>
      <c r="AA12" s="45">
        <v>15.7</v>
      </c>
      <c r="AB12" s="45">
        <v>12.8</v>
      </c>
      <c r="AC12" s="45">
        <v>12.8</v>
      </c>
      <c r="AD12" s="45">
        <v>12.8</v>
      </c>
      <c r="AE12" s="45">
        <v>12.8</v>
      </c>
      <c r="AF12" s="45">
        <v>12.8</v>
      </c>
      <c r="AG12" s="46">
        <v>52.4</v>
      </c>
      <c r="AH12" s="47">
        <f t="shared" si="2"/>
        <v>15.7</v>
      </c>
      <c r="AI12" s="48">
        <f t="shared" si="3"/>
        <v>12.4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31.3</v>
      </c>
      <c r="C13" s="45">
        <v>31.3</v>
      </c>
      <c r="D13" s="45">
        <v>31.3</v>
      </c>
      <c r="E13" s="45">
        <v>31.3</v>
      </c>
      <c r="F13" s="45">
        <v>31.3</v>
      </c>
      <c r="G13" s="45">
        <v>30.3</v>
      </c>
      <c r="H13" s="45">
        <v>30.3</v>
      </c>
      <c r="I13" s="45">
        <v>29.4</v>
      </c>
      <c r="J13" s="45">
        <v>29.4</v>
      </c>
      <c r="K13" s="45">
        <v>29.4</v>
      </c>
      <c r="L13" s="45">
        <v>29.4</v>
      </c>
      <c r="M13" s="45">
        <v>29.4</v>
      </c>
      <c r="N13" s="45">
        <v>29.4</v>
      </c>
      <c r="O13" s="45">
        <v>28.6</v>
      </c>
      <c r="P13" s="45">
        <v>28.6</v>
      </c>
      <c r="Q13" s="45">
        <v>28.6</v>
      </c>
      <c r="R13" s="45">
        <v>28.6</v>
      </c>
      <c r="S13" s="45">
        <v>28.6</v>
      </c>
      <c r="T13" s="45">
        <v>28.6</v>
      </c>
      <c r="U13" s="45">
        <v>28.6</v>
      </c>
      <c r="V13" s="45">
        <v>28.6</v>
      </c>
      <c r="W13" s="45">
        <v>28.6</v>
      </c>
      <c r="X13" s="45">
        <v>28.6</v>
      </c>
      <c r="Y13" s="45">
        <v>28.6</v>
      </c>
      <c r="Z13" s="45">
        <v>28.6</v>
      </c>
      <c r="AA13" s="45">
        <v>28.6</v>
      </c>
      <c r="AB13" s="45">
        <v>28.8</v>
      </c>
      <c r="AC13" s="45">
        <v>28.8</v>
      </c>
      <c r="AD13" s="45">
        <v>28.8</v>
      </c>
      <c r="AE13" s="45">
        <v>28.8</v>
      </c>
      <c r="AF13" s="45">
        <v>28.8</v>
      </c>
      <c r="AG13" s="50">
        <v>50</v>
      </c>
      <c r="AH13" s="47">
        <f t="shared" si="2"/>
        <v>31.3</v>
      </c>
      <c r="AI13" s="48">
        <f t="shared" si="3"/>
        <v>28.6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19.100000000000001</v>
      </c>
      <c r="AC14" s="45">
        <v>19.100000000000001</v>
      </c>
      <c r="AD14" s="45">
        <v>19.100000000000001</v>
      </c>
      <c r="AE14" s="45">
        <v>19.100000000000001</v>
      </c>
      <c r="AF14" s="45">
        <v>19.100000000000001</v>
      </c>
      <c r="AG14" s="50">
        <v>45</v>
      </c>
      <c r="AH14" s="47">
        <f t="shared" si="2"/>
        <v>19.100000000000001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8.5</v>
      </c>
      <c r="C15" s="45">
        <v>8.5</v>
      </c>
      <c r="D15" s="45">
        <v>8.5</v>
      </c>
      <c r="E15" s="45">
        <v>8.5</v>
      </c>
      <c r="F15" s="45">
        <v>8.5</v>
      </c>
      <c r="G15" s="45">
        <v>8.5</v>
      </c>
      <c r="H15" s="45">
        <v>8.5</v>
      </c>
      <c r="I15" s="45">
        <v>8.5</v>
      </c>
      <c r="J15" s="45">
        <v>8.5</v>
      </c>
      <c r="K15" s="45">
        <v>8.5</v>
      </c>
      <c r="L15" s="45">
        <v>8.5</v>
      </c>
      <c r="M15" s="45">
        <v>8.5</v>
      </c>
      <c r="N15" s="45">
        <v>8.5</v>
      </c>
      <c r="O15" s="45">
        <v>8.5</v>
      </c>
      <c r="P15" s="45">
        <v>8.5</v>
      </c>
      <c r="Q15" s="45">
        <v>8.5</v>
      </c>
      <c r="R15" s="45">
        <v>8.5</v>
      </c>
      <c r="S15" s="45">
        <v>8.5</v>
      </c>
      <c r="T15" s="45">
        <v>8.5</v>
      </c>
      <c r="U15" s="45">
        <v>8.5</v>
      </c>
      <c r="V15" s="45">
        <v>8.5</v>
      </c>
      <c r="W15" s="45">
        <v>8.5</v>
      </c>
      <c r="X15" s="45">
        <v>8.5</v>
      </c>
      <c r="Y15" s="45">
        <v>8.5</v>
      </c>
      <c r="Z15" s="45">
        <v>8.5</v>
      </c>
      <c r="AA15" s="45">
        <v>8.5</v>
      </c>
      <c r="AB15" s="45">
        <v>8</v>
      </c>
      <c r="AC15" s="45">
        <v>8</v>
      </c>
      <c r="AD15" s="45">
        <v>8</v>
      </c>
      <c r="AE15" s="45">
        <v>8</v>
      </c>
      <c r="AF15" s="45">
        <v>8</v>
      </c>
      <c r="AG15" s="50">
        <v>42</v>
      </c>
      <c r="AH15" s="47">
        <f t="shared" si="2"/>
        <v>8.5</v>
      </c>
      <c r="AI15" s="48">
        <f t="shared" si="3"/>
        <v>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12.6</v>
      </c>
      <c r="C17" s="45">
        <v>12.6</v>
      </c>
      <c r="D17" s="45">
        <v>12.6</v>
      </c>
      <c r="E17" s="45">
        <v>12.6</v>
      </c>
      <c r="F17" s="45">
        <v>12.6</v>
      </c>
      <c r="G17" s="45">
        <v>12.6</v>
      </c>
      <c r="H17" s="45">
        <v>12.6</v>
      </c>
      <c r="I17" s="45">
        <v>12.6</v>
      </c>
      <c r="J17" s="45">
        <v>12.6</v>
      </c>
      <c r="K17" s="45">
        <v>12.6</v>
      </c>
      <c r="L17" s="45">
        <v>12.6</v>
      </c>
      <c r="M17" s="45">
        <v>12.6</v>
      </c>
      <c r="N17" s="45">
        <v>12.6</v>
      </c>
      <c r="O17" s="45">
        <v>12.6</v>
      </c>
      <c r="P17" s="45">
        <v>12.6</v>
      </c>
      <c r="Q17" s="45">
        <v>12.6</v>
      </c>
      <c r="R17" s="45">
        <v>12.6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12.6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6.9</v>
      </c>
      <c r="C18" s="45">
        <v>6.9</v>
      </c>
      <c r="D18" s="45">
        <v>6.9</v>
      </c>
      <c r="E18" s="45">
        <v>6.9</v>
      </c>
      <c r="F18" s="45">
        <v>6.9</v>
      </c>
      <c r="G18" s="45">
        <v>6.9</v>
      </c>
      <c r="H18" s="45">
        <v>6.9</v>
      </c>
      <c r="I18" s="45">
        <v>6.9</v>
      </c>
      <c r="J18" s="45">
        <v>6.9</v>
      </c>
      <c r="K18" s="45">
        <v>6.9</v>
      </c>
      <c r="L18" s="45">
        <v>6.9</v>
      </c>
      <c r="M18" s="45">
        <v>6.9</v>
      </c>
      <c r="N18" s="45">
        <v>6.9</v>
      </c>
      <c r="O18" s="45">
        <v>6.8</v>
      </c>
      <c r="P18" s="45">
        <v>6.8</v>
      </c>
      <c r="Q18" s="45">
        <v>6.8</v>
      </c>
      <c r="R18" s="45">
        <v>6.8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7.8</v>
      </c>
      <c r="AC18" s="45">
        <v>7.8</v>
      </c>
      <c r="AD18" s="45">
        <v>7.8</v>
      </c>
      <c r="AE18" s="45">
        <v>7.8</v>
      </c>
      <c r="AF18" s="45">
        <v>7.8</v>
      </c>
      <c r="AG18" s="51">
        <v>30</v>
      </c>
      <c r="AH18" s="47">
        <f t="shared" si="2"/>
        <v>7.8</v>
      </c>
      <c r="AI18" s="48">
        <f t="shared" si="3"/>
        <v>6.8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7</v>
      </c>
      <c r="AF21" s="45">
        <v>7</v>
      </c>
      <c r="AG21" s="51">
        <v>30</v>
      </c>
      <c r="AH21" s="47">
        <f t="shared" si="2"/>
        <v>13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7.7</v>
      </c>
      <c r="C22" s="45">
        <v>7.7</v>
      </c>
      <c r="D22" s="45">
        <v>7.7</v>
      </c>
      <c r="E22" s="45">
        <v>7.7</v>
      </c>
      <c r="F22" s="45">
        <v>7.7</v>
      </c>
      <c r="G22" s="45">
        <v>7.7</v>
      </c>
      <c r="H22" s="45">
        <v>7.7</v>
      </c>
      <c r="I22" s="45">
        <v>7.7</v>
      </c>
      <c r="J22" s="45">
        <v>7.7</v>
      </c>
      <c r="K22" s="45">
        <v>7.7</v>
      </c>
      <c r="L22" s="45">
        <v>7.7</v>
      </c>
      <c r="M22" s="45">
        <v>7.7</v>
      </c>
      <c r="N22" s="45">
        <v>7.7</v>
      </c>
      <c r="O22" s="45">
        <v>7.7</v>
      </c>
      <c r="P22" s="45">
        <v>7.7</v>
      </c>
      <c r="Q22" s="45">
        <v>7.7</v>
      </c>
      <c r="R22" s="45">
        <v>7.7</v>
      </c>
      <c r="S22" s="45">
        <v>7.7</v>
      </c>
      <c r="T22" s="45">
        <v>7.7</v>
      </c>
      <c r="U22" s="45">
        <v>7.7</v>
      </c>
      <c r="V22" s="45">
        <v>7.7</v>
      </c>
      <c r="W22" s="45">
        <v>7.7</v>
      </c>
      <c r="X22" s="45">
        <v>7.7</v>
      </c>
      <c r="Y22" s="45">
        <v>7.7</v>
      </c>
      <c r="Z22" s="45">
        <v>7.7</v>
      </c>
      <c r="AA22" s="45">
        <v>7.7</v>
      </c>
      <c r="AB22" s="45">
        <v>7.7</v>
      </c>
      <c r="AC22" s="45">
        <v>7.7</v>
      </c>
      <c r="AD22" s="45">
        <v>7.7</v>
      </c>
      <c r="AE22" s="45">
        <v>7.7</v>
      </c>
      <c r="AF22" s="45">
        <v>7.7</v>
      </c>
      <c r="AG22" s="50">
        <v>25</v>
      </c>
      <c r="AH22" s="47">
        <f t="shared" si="2"/>
        <v>7.7</v>
      </c>
      <c r="AI22" s="48">
        <f t="shared" si="3"/>
        <v>7.7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6.3</v>
      </c>
      <c r="C26" s="45">
        <v>6.3</v>
      </c>
      <c r="D26" s="45">
        <v>6.3</v>
      </c>
      <c r="E26" s="45">
        <v>6.3</v>
      </c>
      <c r="F26" s="45">
        <v>6.3</v>
      </c>
      <c r="G26" s="45">
        <v>6.3</v>
      </c>
      <c r="H26" s="45">
        <v>6.3</v>
      </c>
      <c r="I26" s="45">
        <v>6.3</v>
      </c>
      <c r="J26" s="45">
        <v>6.3</v>
      </c>
      <c r="K26" s="45">
        <v>6.3</v>
      </c>
      <c r="L26" s="45">
        <v>6.3</v>
      </c>
      <c r="M26" s="45">
        <v>6.3</v>
      </c>
      <c r="N26" s="45">
        <v>6.3</v>
      </c>
      <c r="O26" s="45">
        <v>5.9</v>
      </c>
      <c r="P26" s="45">
        <v>5.9</v>
      </c>
      <c r="Q26" s="45">
        <v>5.9</v>
      </c>
      <c r="R26" s="45">
        <v>5.9</v>
      </c>
      <c r="S26" s="45">
        <v>5.9</v>
      </c>
      <c r="T26" s="45">
        <v>5.9</v>
      </c>
      <c r="U26" s="45">
        <v>5.9</v>
      </c>
      <c r="V26" s="45">
        <v>5.9</v>
      </c>
      <c r="W26" s="45">
        <v>5.9</v>
      </c>
      <c r="X26" s="45">
        <v>5.9</v>
      </c>
      <c r="Y26" s="45">
        <v>5.9</v>
      </c>
      <c r="Z26" s="45">
        <v>5.9</v>
      </c>
      <c r="AA26" s="45">
        <v>5.9</v>
      </c>
      <c r="AB26" s="45">
        <v>5.9</v>
      </c>
      <c r="AC26" s="45">
        <v>5.9</v>
      </c>
      <c r="AD26" s="45">
        <v>5.9</v>
      </c>
      <c r="AE26" s="45">
        <v>5.9</v>
      </c>
      <c r="AF26" s="45">
        <v>5.9</v>
      </c>
      <c r="AG26" s="50">
        <v>23.5</v>
      </c>
      <c r="AH26" s="47">
        <f t="shared" si="2"/>
        <v>6.3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" si="4">SUM(B12:B46)</f>
        <v>361.7</v>
      </c>
      <c r="C48" s="60">
        <f t="shared" ref="C48:AG48" si="5">SUM(C12:C46)</f>
        <v>361.7</v>
      </c>
      <c r="D48" s="60">
        <f t="shared" si="5"/>
        <v>361.7</v>
      </c>
      <c r="E48" s="60">
        <f t="shared" si="5"/>
        <v>361.7</v>
      </c>
      <c r="F48" s="60">
        <f t="shared" si="5"/>
        <v>361.7</v>
      </c>
      <c r="G48" s="60">
        <f t="shared" si="5"/>
        <v>360.7</v>
      </c>
      <c r="H48" s="60">
        <f t="shared" si="5"/>
        <v>360.7</v>
      </c>
      <c r="I48" s="60">
        <f t="shared" si="5"/>
        <v>359.79999999999995</v>
      </c>
      <c r="J48" s="60">
        <f t="shared" si="5"/>
        <v>359.79999999999995</v>
      </c>
      <c r="K48" s="60">
        <f t="shared" si="5"/>
        <v>359.79999999999995</v>
      </c>
      <c r="L48" s="60">
        <f t="shared" si="5"/>
        <v>359.79999999999995</v>
      </c>
      <c r="M48" s="60">
        <f t="shared" si="5"/>
        <v>359.79999999999995</v>
      </c>
      <c r="N48" s="60">
        <f t="shared" ref="N48:O48" si="6">SUM(N12:N46)</f>
        <v>359.79999999999995</v>
      </c>
      <c r="O48" s="60">
        <f t="shared" si="6"/>
        <v>361.79999999999995</v>
      </c>
      <c r="P48" s="60">
        <f t="shared" ref="P48:Q48" si="7">SUM(P12:P46)</f>
        <v>361.79999999999995</v>
      </c>
      <c r="Q48" s="60">
        <f t="shared" si="7"/>
        <v>361.79999999999995</v>
      </c>
      <c r="R48" s="60">
        <f t="shared" ref="R48" si="8">SUM(R12:R46)</f>
        <v>361.79999999999995</v>
      </c>
      <c r="S48" s="60">
        <f t="shared" si="5"/>
        <v>353.9</v>
      </c>
      <c r="T48" s="60">
        <f t="shared" si="5"/>
        <v>353.9</v>
      </c>
      <c r="U48" s="60">
        <f t="shared" si="5"/>
        <v>353.9</v>
      </c>
      <c r="V48" s="60">
        <f t="shared" si="5"/>
        <v>353.9</v>
      </c>
      <c r="W48" s="60">
        <f t="shared" si="5"/>
        <v>353.9</v>
      </c>
      <c r="X48" s="60">
        <f t="shared" si="5"/>
        <v>353.9</v>
      </c>
      <c r="Y48" s="60">
        <f t="shared" si="5"/>
        <v>353.9</v>
      </c>
      <c r="Z48" s="60">
        <f t="shared" si="5"/>
        <v>353.9</v>
      </c>
      <c r="AA48" s="60">
        <f t="shared" si="5"/>
        <v>353.9</v>
      </c>
      <c r="AB48" s="60">
        <f t="shared" si="5"/>
        <v>354.70000000000005</v>
      </c>
      <c r="AC48" s="60">
        <f t="shared" si="5"/>
        <v>354.70000000000005</v>
      </c>
      <c r="AD48" s="60">
        <f t="shared" si="5"/>
        <v>354.70000000000005</v>
      </c>
      <c r="AE48" s="60">
        <f t="shared" si="5"/>
        <v>354.70000000000005</v>
      </c>
      <c r="AF48" s="60">
        <f t="shared" si="5"/>
        <v>354.70000000000005</v>
      </c>
      <c r="AG48" s="61">
        <f t="shared" si="5"/>
        <v>875.68</v>
      </c>
      <c r="AH48" s="47">
        <f t="shared" si="2"/>
        <v>361.79999999999995</v>
      </c>
      <c r="AI48" s="48">
        <f t="shared" si="3"/>
        <v>353.9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15</v>
      </c>
      <c r="I49" s="45">
        <v>45</v>
      </c>
      <c r="J49" s="45">
        <v>50</v>
      </c>
      <c r="K49" s="45">
        <v>110</v>
      </c>
      <c r="L49" s="45">
        <v>120</v>
      </c>
      <c r="M49" s="63">
        <v>125</v>
      </c>
      <c r="N49" s="63">
        <v>70</v>
      </c>
      <c r="O49" s="63">
        <v>30</v>
      </c>
      <c r="P49" s="63">
        <v>30</v>
      </c>
      <c r="Q49" s="63">
        <v>60</v>
      </c>
      <c r="R49" s="63">
        <v>70</v>
      </c>
      <c r="S49" s="45">
        <v>90</v>
      </c>
      <c r="T49" s="45">
        <v>80</v>
      </c>
      <c r="U49" s="45">
        <v>70</v>
      </c>
      <c r="V49" s="45">
        <v>60</v>
      </c>
      <c r="W49" s="45">
        <v>60</v>
      </c>
      <c r="X49" s="45">
        <v>70</v>
      </c>
      <c r="Y49" s="45">
        <v>152</v>
      </c>
      <c r="Z49" s="45">
        <v>160</v>
      </c>
      <c r="AA49" s="45">
        <v>180</v>
      </c>
      <c r="AB49" s="45">
        <v>180</v>
      </c>
      <c r="AC49" s="45">
        <v>187</v>
      </c>
      <c r="AD49" s="45">
        <v>148</v>
      </c>
      <c r="AE49" s="45">
        <v>80</v>
      </c>
      <c r="AF49" s="45">
        <v>30</v>
      </c>
      <c r="AG49" s="51">
        <v>456</v>
      </c>
      <c r="AH49" s="47">
        <f t="shared" si="2"/>
        <v>187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27</v>
      </c>
      <c r="F50" s="65">
        <v>27</v>
      </c>
      <c r="G50" s="65">
        <v>27</v>
      </c>
      <c r="H50" s="65">
        <v>27</v>
      </c>
      <c r="I50" s="65">
        <v>27</v>
      </c>
      <c r="J50" s="65">
        <v>27</v>
      </c>
      <c r="K50" s="65">
        <v>27</v>
      </c>
      <c r="L50" s="65">
        <v>27</v>
      </c>
      <c r="M50" s="65">
        <v>27</v>
      </c>
      <c r="N50" s="65">
        <v>27</v>
      </c>
      <c r="O50" s="65">
        <v>27</v>
      </c>
      <c r="P50" s="65">
        <v>27</v>
      </c>
      <c r="Q50" s="65">
        <v>27</v>
      </c>
      <c r="R50" s="65">
        <v>27</v>
      </c>
      <c r="S50" s="65">
        <v>27</v>
      </c>
      <c r="T50" s="65">
        <v>27</v>
      </c>
      <c r="U50" s="65">
        <v>27</v>
      </c>
      <c r="V50" s="65">
        <v>27</v>
      </c>
      <c r="W50" s="65">
        <v>27</v>
      </c>
      <c r="X50" s="65">
        <v>27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27</v>
      </c>
      <c r="AK50" s="49"/>
    </row>
    <row r="51" spans="1:41" ht="15.75" thickBot="1" x14ac:dyDescent="0.3">
      <c r="A51" s="66" t="s">
        <v>55</v>
      </c>
      <c r="B51" s="67">
        <v>10</v>
      </c>
      <c r="C51" s="67">
        <v>10</v>
      </c>
      <c r="D51" s="67">
        <v>10</v>
      </c>
      <c r="E51" s="67">
        <v>10</v>
      </c>
      <c r="F51" s="67">
        <v>10</v>
      </c>
      <c r="G51" s="67">
        <v>10</v>
      </c>
      <c r="H51" s="67">
        <v>10</v>
      </c>
      <c r="I51" s="67">
        <v>9.5</v>
      </c>
      <c r="J51" s="67">
        <v>9.5</v>
      </c>
      <c r="K51" s="67">
        <v>9.5</v>
      </c>
      <c r="L51" s="67">
        <v>9.5</v>
      </c>
      <c r="M51" s="67">
        <v>9.5</v>
      </c>
      <c r="N51" s="67">
        <v>9.5</v>
      </c>
      <c r="O51" s="67">
        <v>9</v>
      </c>
      <c r="P51" s="67">
        <v>9</v>
      </c>
      <c r="Q51" s="67">
        <v>9</v>
      </c>
      <c r="R51" s="67">
        <v>9</v>
      </c>
      <c r="S51" s="67">
        <v>9</v>
      </c>
      <c r="T51" s="67">
        <v>9</v>
      </c>
      <c r="U51" s="67">
        <v>9</v>
      </c>
      <c r="V51" s="67">
        <v>9</v>
      </c>
      <c r="W51" s="67">
        <v>9</v>
      </c>
      <c r="X51" s="67">
        <v>9</v>
      </c>
      <c r="Y51" s="67">
        <v>9</v>
      </c>
      <c r="Z51" s="67">
        <v>9</v>
      </c>
      <c r="AA51" s="67">
        <v>9</v>
      </c>
      <c r="AB51" s="67">
        <v>9</v>
      </c>
      <c r="AC51" s="67">
        <v>9</v>
      </c>
      <c r="AD51" s="67">
        <v>9</v>
      </c>
      <c r="AE51" s="67">
        <v>9</v>
      </c>
      <c r="AF51" s="67">
        <v>9</v>
      </c>
      <c r="AG51" s="68">
        <v>22.1</v>
      </c>
      <c r="AH51" s="47">
        <f t="shared" si="2"/>
        <v>10</v>
      </c>
      <c r="AI51" s="48">
        <f t="shared" si="3"/>
        <v>9</v>
      </c>
      <c r="AK51" s="49"/>
    </row>
    <row r="52" spans="1:41" ht="15.75" thickBot="1" x14ac:dyDescent="0.3">
      <c r="A52" s="69" t="s">
        <v>56</v>
      </c>
      <c r="B52" s="60">
        <f t="shared" ref="B52" si="9">SUM(B49:B51)</f>
        <v>37</v>
      </c>
      <c r="C52" s="60">
        <f t="shared" ref="C52:AG52" si="10">SUM(C49:C51)</f>
        <v>37</v>
      </c>
      <c r="D52" s="60">
        <f t="shared" si="10"/>
        <v>37</v>
      </c>
      <c r="E52" s="60">
        <f t="shared" si="10"/>
        <v>37</v>
      </c>
      <c r="F52" s="60">
        <f t="shared" si="10"/>
        <v>37</v>
      </c>
      <c r="G52" s="60">
        <f t="shared" si="10"/>
        <v>37</v>
      </c>
      <c r="H52" s="60">
        <f t="shared" si="10"/>
        <v>52</v>
      </c>
      <c r="I52" s="60">
        <f t="shared" si="10"/>
        <v>81.5</v>
      </c>
      <c r="J52" s="60">
        <f t="shared" si="10"/>
        <v>86.5</v>
      </c>
      <c r="K52" s="60">
        <f t="shared" si="10"/>
        <v>146.5</v>
      </c>
      <c r="L52" s="60">
        <f t="shared" si="10"/>
        <v>156.5</v>
      </c>
      <c r="M52" s="60">
        <f t="shared" si="10"/>
        <v>161.5</v>
      </c>
      <c r="N52" s="60">
        <f t="shared" ref="N52" si="11">SUM(N49:N51)</f>
        <v>106.5</v>
      </c>
      <c r="O52" s="60">
        <f t="shared" si="10"/>
        <v>66</v>
      </c>
      <c r="P52" s="60">
        <f t="shared" ref="P52:Q52" si="12">SUM(P49:P51)</f>
        <v>66</v>
      </c>
      <c r="Q52" s="60">
        <f t="shared" si="12"/>
        <v>96</v>
      </c>
      <c r="R52" s="60">
        <f t="shared" ref="R52" si="13">SUM(R49:R51)</f>
        <v>106</v>
      </c>
      <c r="S52" s="60">
        <f t="shared" si="10"/>
        <v>126</v>
      </c>
      <c r="T52" s="60">
        <f t="shared" si="10"/>
        <v>116</v>
      </c>
      <c r="U52" s="60">
        <f t="shared" si="10"/>
        <v>106</v>
      </c>
      <c r="V52" s="60">
        <f t="shared" si="10"/>
        <v>96</v>
      </c>
      <c r="W52" s="60">
        <f t="shared" si="10"/>
        <v>96</v>
      </c>
      <c r="X52" s="60">
        <f t="shared" si="10"/>
        <v>106</v>
      </c>
      <c r="Y52" s="60">
        <f t="shared" si="10"/>
        <v>188</v>
      </c>
      <c r="Z52" s="60">
        <f t="shared" si="10"/>
        <v>196</v>
      </c>
      <c r="AA52" s="60">
        <f t="shared" si="10"/>
        <v>216</v>
      </c>
      <c r="AB52" s="60">
        <f t="shared" si="10"/>
        <v>216</v>
      </c>
      <c r="AC52" s="60">
        <f t="shared" si="10"/>
        <v>223</v>
      </c>
      <c r="AD52" s="60">
        <f t="shared" si="10"/>
        <v>184</v>
      </c>
      <c r="AE52" s="60">
        <f t="shared" si="10"/>
        <v>116</v>
      </c>
      <c r="AF52" s="60">
        <f t="shared" si="10"/>
        <v>66</v>
      </c>
      <c r="AG52" s="61">
        <f t="shared" si="10"/>
        <v>538.1</v>
      </c>
      <c r="AH52" s="47">
        <f t="shared" si="2"/>
        <v>223</v>
      </c>
      <c r="AI52" s="48">
        <f t="shared" si="3"/>
        <v>37</v>
      </c>
      <c r="AK52" s="49"/>
    </row>
    <row r="53" spans="1:41" x14ac:dyDescent="0.25">
      <c r="A53" s="44" t="s">
        <v>57</v>
      </c>
      <c r="B53" s="45">
        <v>22.5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30.6</v>
      </c>
      <c r="J53" s="45">
        <v>67</v>
      </c>
      <c r="K53" s="45">
        <v>91</v>
      </c>
      <c r="L53" s="45">
        <v>94.6</v>
      </c>
      <c r="M53" s="45">
        <v>94.6</v>
      </c>
      <c r="N53" s="45">
        <v>94.6</v>
      </c>
      <c r="O53" s="45">
        <v>60.8</v>
      </c>
      <c r="P53" s="45">
        <v>72</v>
      </c>
      <c r="Q53" s="45">
        <v>61</v>
      </c>
      <c r="R53" s="45">
        <v>60.1</v>
      </c>
      <c r="S53" s="45">
        <v>61</v>
      </c>
      <c r="T53" s="45">
        <v>82</v>
      </c>
      <c r="U53" s="45">
        <v>93.5</v>
      </c>
      <c r="V53" s="45">
        <v>61</v>
      </c>
      <c r="W53" s="45">
        <v>61</v>
      </c>
      <c r="X53" s="45">
        <v>71</v>
      </c>
      <c r="Y53" s="45">
        <v>94</v>
      </c>
      <c r="Z53" s="45">
        <v>94</v>
      </c>
      <c r="AA53" s="45">
        <v>94</v>
      </c>
      <c r="AB53" s="45">
        <v>93.5</v>
      </c>
      <c r="AC53" s="45">
        <v>85.5</v>
      </c>
      <c r="AD53" s="45">
        <v>85.5</v>
      </c>
      <c r="AE53" s="45">
        <v>85.6</v>
      </c>
      <c r="AF53" s="45">
        <v>85.6</v>
      </c>
      <c r="AG53" s="51">
        <v>144</v>
      </c>
      <c r="AH53" s="47">
        <f t="shared" si="2"/>
        <v>94.6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19.7</v>
      </c>
      <c r="H55" s="65">
        <v>20.8</v>
      </c>
      <c r="I55" s="65">
        <v>21</v>
      </c>
      <c r="J55" s="65">
        <v>43.8</v>
      </c>
      <c r="K55" s="65">
        <v>44.6</v>
      </c>
      <c r="L55" s="65">
        <v>63</v>
      </c>
      <c r="M55" s="65">
        <v>63</v>
      </c>
      <c r="N55" s="65">
        <v>45.6</v>
      </c>
      <c r="O55" s="65">
        <v>45.1</v>
      </c>
      <c r="P55" s="65">
        <v>45.1</v>
      </c>
      <c r="Q55" s="65">
        <v>33</v>
      </c>
      <c r="R55" s="65">
        <v>33.200000000000003</v>
      </c>
      <c r="S55" s="65">
        <v>33.200000000000003</v>
      </c>
      <c r="T55" s="65">
        <v>46</v>
      </c>
      <c r="U55" s="65">
        <v>59.2</v>
      </c>
      <c r="V55" s="65">
        <v>35</v>
      </c>
      <c r="W55" s="65">
        <v>35</v>
      </c>
      <c r="X55" s="65">
        <v>35</v>
      </c>
      <c r="Y55" s="45">
        <v>69.3</v>
      </c>
      <c r="Z55" s="45">
        <v>69</v>
      </c>
      <c r="AA55" s="45">
        <v>69</v>
      </c>
      <c r="AB55" s="65">
        <v>52.4</v>
      </c>
      <c r="AC55" s="65">
        <v>52.4</v>
      </c>
      <c r="AD55" s="65">
        <v>36</v>
      </c>
      <c r="AE55" s="65">
        <v>46.4</v>
      </c>
      <c r="AF55" s="65">
        <v>17</v>
      </c>
      <c r="AG55" s="54">
        <v>69</v>
      </c>
      <c r="AH55" s="47">
        <f t="shared" si="2"/>
        <v>69.3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38.799999999999997</v>
      </c>
      <c r="C56" s="65">
        <v>38.799999999999997</v>
      </c>
      <c r="D56" s="65">
        <v>38.799999999999997</v>
      </c>
      <c r="E56" s="65">
        <v>38.799999999999997</v>
      </c>
      <c r="F56" s="65">
        <v>38.799999999999997</v>
      </c>
      <c r="G56" s="65">
        <v>38.799999999999997</v>
      </c>
      <c r="H56" s="65">
        <v>38.799999999999997</v>
      </c>
      <c r="I56" s="56">
        <v>38.299999999999997</v>
      </c>
      <c r="J56" s="56">
        <v>38</v>
      </c>
      <c r="K56" s="56">
        <v>38</v>
      </c>
      <c r="L56" s="56">
        <v>38</v>
      </c>
      <c r="M56" s="56">
        <v>38</v>
      </c>
      <c r="N56" s="56">
        <v>38</v>
      </c>
      <c r="O56" s="65">
        <v>38</v>
      </c>
      <c r="P56" s="65">
        <v>38</v>
      </c>
      <c r="Q56" s="65">
        <v>38</v>
      </c>
      <c r="R56" s="65">
        <v>38</v>
      </c>
      <c r="S56" s="65">
        <v>38</v>
      </c>
      <c r="T56" s="65">
        <v>38</v>
      </c>
      <c r="U56" s="65">
        <v>20</v>
      </c>
      <c r="V56" s="65">
        <v>38</v>
      </c>
      <c r="W56" s="65">
        <v>38</v>
      </c>
      <c r="X56" s="65">
        <v>38</v>
      </c>
      <c r="Y56" s="65">
        <v>38</v>
      </c>
      <c r="Z56" s="65">
        <v>38</v>
      </c>
      <c r="AA56" s="65">
        <v>38</v>
      </c>
      <c r="AB56" s="65">
        <v>36</v>
      </c>
      <c r="AC56" s="65">
        <v>36</v>
      </c>
      <c r="AD56" s="65">
        <v>36</v>
      </c>
      <c r="AE56" s="65">
        <v>36.299999999999997</v>
      </c>
      <c r="AF56" s="65">
        <v>36.299999999999997</v>
      </c>
      <c r="AG56" s="54">
        <v>60</v>
      </c>
      <c r="AH56" s="47">
        <f t="shared" si="2"/>
        <v>38.799999999999997</v>
      </c>
      <c r="AI56" s="48">
        <f t="shared" si="3"/>
        <v>20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10</v>
      </c>
      <c r="I57" s="56">
        <v>15</v>
      </c>
      <c r="J57" s="56">
        <v>10.5</v>
      </c>
      <c r="K57" s="56">
        <v>25</v>
      </c>
      <c r="L57" s="56">
        <v>30</v>
      </c>
      <c r="M57" s="56">
        <v>30</v>
      </c>
      <c r="N57" s="56">
        <v>30</v>
      </c>
      <c r="O57" s="65">
        <v>15</v>
      </c>
      <c r="P57" s="65">
        <v>15</v>
      </c>
      <c r="Q57" s="65">
        <v>15</v>
      </c>
      <c r="R57" s="65">
        <v>15</v>
      </c>
      <c r="S57" s="65">
        <v>15</v>
      </c>
      <c r="T57" s="65">
        <v>0</v>
      </c>
      <c r="U57" s="65">
        <v>0</v>
      </c>
      <c r="V57" s="65">
        <v>13</v>
      </c>
      <c r="W57" s="65">
        <v>13</v>
      </c>
      <c r="X57" s="65">
        <v>13</v>
      </c>
      <c r="Y57" s="65">
        <v>15</v>
      </c>
      <c r="Z57" s="65">
        <v>29</v>
      </c>
      <c r="AA57" s="65">
        <v>29</v>
      </c>
      <c r="AB57" s="65">
        <v>15</v>
      </c>
      <c r="AC57" s="65">
        <v>12</v>
      </c>
      <c r="AD57" s="65">
        <v>0</v>
      </c>
      <c r="AE57" s="65">
        <v>0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2</v>
      </c>
      <c r="N58" s="65">
        <v>8.8699999999999992</v>
      </c>
      <c r="O58" s="65">
        <v>13.48</v>
      </c>
      <c r="P58" s="65">
        <v>13.48</v>
      </c>
      <c r="Q58" s="65">
        <v>13.48</v>
      </c>
      <c r="R58" s="65">
        <v>13.48</v>
      </c>
      <c r="S58" s="65">
        <v>13.48</v>
      </c>
      <c r="T58" s="65">
        <v>13.48</v>
      </c>
      <c r="U58" s="65">
        <v>13.48</v>
      </c>
      <c r="V58" s="65">
        <v>13.48</v>
      </c>
      <c r="W58" s="45">
        <v>0</v>
      </c>
      <c r="X58" s="4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13.48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13</v>
      </c>
      <c r="C59" s="65">
        <v>13</v>
      </c>
      <c r="D59" s="65">
        <v>13</v>
      </c>
      <c r="E59" s="65">
        <v>13</v>
      </c>
      <c r="F59" s="65">
        <v>13</v>
      </c>
      <c r="G59" s="65">
        <v>13</v>
      </c>
      <c r="H59" s="65">
        <v>13</v>
      </c>
      <c r="I59" s="65">
        <v>13</v>
      </c>
      <c r="J59" s="65">
        <v>13</v>
      </c>
      <c r="K59" s="65">
        <v>13</v>
      </c>
      <c r="L59" s="65">
        <v>13</v>
      </c>
      <c r="M59" s="65">
        <v>13</v>
      </c>
      <c r="N59" s="65">
        <v>13</v>
      </c>
      <c r="O59" s="65">
        <v>13</v>
      </c>
      <c r="P59" s="65">
        <v>13</v>
      </c>
      <c r="Q59" s="65">
        <v>13</v>
      </c>
      <c r="R59" s="65">
        <v>13</v>
      </c>
      <c r="S59" s="65">
        <v>13</v>
      </c>
      <c r="T59" s="65">
        <v>13</v>
      </c>
      <c r="U59" s="65">
        <v>5</v>
      </c>
      <c r="V59" s="65">
        <v>8</v>
      </c>
      <c r="W59" s="65">
        <v>8</v>
      </c>
      <c r="X59" s="65">
        <v>8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5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10.6</v>
      </c>
      <c r="C61" s="65">
        <v>10.6</v>
      </c>
      <c r="D61" s="65">
        <v>10.6</v>
      </c>
      <c r="E61" s="65">
        <v>10.6</v>
      </c>
      <c r="F61" s="65">
        <v>10.6</v>
      </c>
      <c r="G61" s="65">
        <v>10.6</v>
      </c>
      <c r="H61" s="65">
        <v>10.6</v>
      </c>
      <c r="I61" s="65">
        <v>10.6</v>
      </c>
      <c r="J61" s="65">
        <v>10.6</v>
      </c>
      <c r="K61" s="65">
        <v>10.6</v>
      </c>
      <c r="L61" s="65">
        <v>10.6</v>
      </c>
      <c r="M61" s="65">
        <v>10.6</v>
      </c>
      <c r="N61" s="65">
        <v>10.6</v>
      </c>
      <c r="O61" s="65">
        <v>11.3</v>
      </c>
      <c r="P61" s="65">
        <v>11.3</v>
      </c>
      <c r="Q61" s="65">
        <v>11.3</v>
      </c>
      <c r="R61" s="65">
        <v>11.3</v>
      </c>
      <c r="S61" s="65">
        <v>11.3</v>
      </c>
      <c r="T61" s="65">
        <v>11.3</v>
      </c>
      <c r="U61" s="65">
        <v>5</v>
      </c>
      <c r="V61" s="65">
        <v>5</v>
      </c>
      <c r="W61" s="65">
        <v>5</v>
      </c>
      <c r="X61" s="65">
        <v>5</v>
      </c>
      <c r="Y61" s="65">
        <v>10</v>
      </c>
      <c r="Z61" s="65">
        <v>10</v>
      </c>
      <c r="AA61" s="65">
        <v>10</v>
      </c>
      <c r="AB61" s="65">
        <v>10</v>
      </c>
      <c r="AC61" s="65">
        <v>10</v>
      </c>
      <c r="AD61" s="65">
        <v>10</v>
      </c>
      <c r="AE61" s="65">
        <v>10</v>
      </c>
      <c r="AF61" s="65">
        <v>10</v>
      </c>
      <c r="AG61" s="54">
        <v>14.1</v>
      </c>
      <c r="AH61" s="47">
        <f t="shared" si="2"/>
        <v>11.3</v>
      </c>
      <c r="AI61" s="48">
        <f t="shared" si="3"/>
        <v>5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3.1</v>
      </c>
      <c r="C62" s="65">
        <v>3.1</v>
      </c>
      <c r="D62" s="65">
        <v>3.1</v>
      </c>
      <c r="E62" s="65">
        <v>3.1</v>
      </c>
      <c r="F62" s="65">
        <v>3.1</v>
      </c>
      <c r="G62" s="65">
        <v>3.1</v>
      </c>
      <c r="H62" s="65">
        <v>3.1</v>
      </c>
      <c r="I62" s="65">
        <v>3.1</v>
      </c>
      <c r="J62" s="65">
        <v>3.1</v>
      </c>
      <c r="K62" s="65">
        <v>3.1</v>
      </c>
      <c r="L62" s="65">
        <v>3.1</v>
      </c>
      <c r="M62" s="65">
        <v>3.1</v>
      </c>
      <c r="N62" s="65">
        <v>3.1</v>
      </c>
      <c r="O62" s="65">
        <v>3.1</v>
      </c>
      <c r="P62" s="65">
        <v>3.1</v>
      </c>
      <c r="Q62" s="65">
        <v>3.1</v>
      </c>
      <c r="R62" s="65">
        <v>3.1</v>
      </c>
      <c r="S62" s="65">
        <v>3.1</v>
      </c>
      <c r="T62" s="65">
        <v>3.1</v>
      </c>
      <c r="U62" s="65">
        <v>3.1</v>
      </c>
      <c r="V62" s="65">
        <v>3.1</v>
      </c>
      <c r="W62" s="65">
        <v>3.1</v>
      </c>
      <c r="X62" s="65">
        <v>3.1</v>
      </c>
      <c r="Y62" s="65">
        <v>3.1</v>
      </c>
      <c r="Z62" s="65">
        <v>3.1</v>
      </c>
      <c r="AA62" s="65">
        <v>3.1</v>
      </c>
      <c r="AB62" s="65">
        <v>3.1</v>
      </c>
      <c r="AC62" s="65">
        <v>3.1</v>
      </c>
      <c r="AD62" s="65">
        <v>3.1</v>
      </c>
      <c r="AE62" s="65">
        <v>3.1</v>
      </c>
      <c r="AF62" s="65">
        <v>3.1</v>
      </c>
      <c r="AG62" s="54">
        <v>14</v>
      </c>
      <c r="AH62" s="47">
        <f t="shared" si="2"/>
        <v>3.1</v>
      </c>
      <c r="AI62" s="48">
        <f t="shared" si="3"/>
        <v>3.1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4.5999999999999996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" si="14">SUM(B53:B65)</f>
        <v>100.83999999999999</v>
      </c>
      <c r="C66" s="60">
        <f t="shared" ref="C66:AG66" si="15">SUM(C53:C65)</f>
        <v>78.339999999999989</v>
      </c>
      <c r="D66" s="60">
        <f t="shared" si="15"/>
        <v>78.339999999999989</v>
      </c>
      <c r="E66" s="60">
        <f t="shared" si="15"/>
        <v>78.339999999999989</v>
      </c>
      <c r="F66" s="60">
        <f t="shared" si="15"/>
        <v>78.339999999999989</v>
      </c>
      <c r="G66" s="60">
        <f t="shared" si="15"/>
        <v>98.039999999999992</v>
      </c>
      <c r="H66" s="60">
        <f t="shared" si="15"/>
        <v>109.13999999999999</v>
      </c>
      <c r="I66" s="60">
        <f t="shared" si="15"/>
        <v>144.44</v>
      </c>
      <c r="J66" s="60">
        <f t="shared" si="15"/>
        <v>198.83999999999997</v>
      </c>
      <c r="K66" s="60">
        <f t="shared" si="15"/>
        <v>238.13999999999996</v>
      </c>
      <c r="L66" s="60">
        <f t="shared" si="15"/>
        <v>265.14</v>
      </c>
      <c r="M66" s="60">
        <f t="shared" si="15"/>
        <v>267.14000000000004</v>
      </c>
      <c r="N66" s="60">
        <f t="shared" ref="N66" si="16">SUM(N53:N65)</f>
        <v>256.60999999999996</v>
      </c>
      <c r="O66" s="60">
        <f t="shared" si="15"/>
        <v>212.61999999999998</v>
      </c>
      <c r="P66" s="60">
        <f t="shared" ref="P66:Q66" si="17">SUM(P53:P65)</f>
        <v>223.81999999999996</v>
      </c>
      <c r="Q66" s="60">
        <f t="shared" si="17"/>
        <v>200.71999999999997</v>
      </c>
      <c r="R66" s="60">
        <f t="shared" ref="R66" si="18">SUM(R53:R65)</f>
        <v>200.01999999999998</v>
      </c>
      <c r="S66" s="60">
        <f t="shared" si="15"/>
        <v>200.91999999999996</v>
      </c>
      <c r="T66" s="60">
        <f t="shared" si="15"/>
        <v>219.71999999999997</v>
      </c>
      <c r="U66" s="60">
        <f t="shared" si="15"/>
        <v>212.11999999999995</v>
      </c>
      <c r="V66" s="60">
        <f t="shared" si="15"/>
        <v>189.41999999999996</v>
      </c>
      <c r="W66" s="60">
        <f t="shared" si="15"/>
        <v>175.93999999999997</v>
      </c>
      <c r="X66" s="60">
        <f t="shared" si="15"/>
        <v>185.93999999999997</v>
      </c>
      <c r="Y66" s="60">
        <f t="shared" si="15"/>
        <v>257.24</v>
      </c>
      <c r="Z66" s="60">
        <f t="shared" si="15"/>
        <v>270.94000000000005</v>
      </c>
      <c r="AA66" s="60">
        <f t="shared" si="15"/>
        <v>270.94000000000005</v>
      </c>
      <c r="AB66" s="60">
        <f t="shared" si="15"/>
        <v>237.83999999999997</v>
      </c>
      <c r="AC66" s="60">
        <f t="shared" si="15"/>
        <v>226.83999999999997</v>
      </c>
      <c r="AD66" s="60">
        <f t="shared" si="15"/>
        <v>198.43999999999997</v>
      </c>
      <c r="AE66" s="60">
        <f t="shared" si="15"/>
        <v>209.23999999999998</v>
      </c>
      <c r="AF66" s="60">
        <f t="shared" si="15"/>
        <v>179.83999999999995</v>
      </c>
      <c r="AG66" s="61">
        <f t="shared" si="15"/>
        <v>489.91</v>
      </c>
      <c r="AH66" s="47">
        <f t="shared" si="2"/>
        <v>270.94000000000005</v>
      </c>
      <c r="AI66" s="48">
        <f t="shared" si="3"/>
        <v>78.339999999999989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/>
      <c r="U67" s="45"/>
      <c r="V67" s="45"/>
      <c r="W67" s="45"/>
      <c r="X67" s="45"/>
      <c r="Y67" s="45">
        <v>25</v>
      </c>
      <c r="Z67" s="45">
        <v>25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25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/>
      <c r="W68" s="65"/>
      <c r="X68" s="65"/>
      <c r="Y68" s="65">
        <v>5.5</v>
      </c>
      <c r="Z68" s="65">
        <v>13</v>
      </c>
      <c r="AA68" s="65">
        <v>5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13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/>
      <c r="U69" s="67"/>
      <c r="V69" s="67"/>
      <c r="W69" s="67"/>
      <c r="X69" s="67"/>
      <c r="Y69" s="67">
        <v>2.2000000000000002</v>
      </c>
      <c r="Z69" s="67">
        <v>4.7</v>
      </c>
      <c r="AA69" s="67">
        <v>1.7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4.7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9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20">M67+M68+M69</f>
        <v>0</v>
      </c>
      <c r="N70" s="60">
        <f t="shared" ref="N70" si="21">N67+N68+N69</f>
        <v>0</v>
      </c>
      <c r="O70" s="60">
        <f t="shared" si="20"/>
        <v>0</v>
      </c>
      <c r="P70" s="60">
        <f t="shared" ref="P70:Q70" si="22">P67+P68+P69</f>
        <v>0</v>
      </c>
      <c r="Q70" s="60">
        <f t="shared" si="22"/>
        <v>0</v>
      </c>
      <c r="R70" s="60">
        <f t="shared" ref="R70" si="23">R67+R68+R69</f>
        <v>0</v>
      </c>
      <c r="S70" s="60">
        <f t="shared" si="20"/>
        <v>0</v>
      </c>
      <c r="T70" s="60">
        <f t="shared" si="20"/>
        <v>0</v>
      </c>
      <c r="U70" s="60">
        <f t="shared" si="20"/>
        <v>0</v>
      </c>
      <c r="V70" s="60">
        <f t="shared" si="20"/>
        <v>0</v>
      </c>
      <c r="W70" s="60">
        <f t="shared" si="20"/>
        <v>0</v>
      </c>
      <c r="X70" s="60">
        <f t="shared" si="20"/>
        <v>0</v>
      </c>
      <c r="Y70" s="60">
        <f t="shared" si="20"/>
        <v>32.700000000000003</v>
      </c>
      <c r="Z70" s="60">
        <f t="shared" si="20"/>
        <v>42.7</v>
      </c>
      <c r="AA70" s="60">
        <f t="shared" si="20"/>
        <v>6.7</v>
      </c>
      <c r="AB70" s="60">
        <f t="shared" si="20"/>
        <v>0</v>
      </c>
      <c r="AC70" s="60">
        <f t="shared" si="20"/>
        <v>0</v>
      </c>
      <c r="AD70" s="60">
        <f t="shared" si="20"/>
        <v>0</v>
      </c>
      <c r="AE70" s="60">
        <f t="shared" si="20"/>
        <v>0</v>
      </c>
      <c r="AF70" s="60">
        <f t="shared" si="20"/>
        <v>0</v>
      </c>
      <c r="AG70" s="61">
        <f>SUM(AG67:AG69)</f>
        <v>106</v>
      </c>
      <c r="AH70" s="47">
        <f t="shared" si="2"/>
        <v>42.7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57</v>
      </c>
      <c r="C71" s="45">
        <v>49.1</v>
      </c>
      <c r="D71" s="45">
        <v>53.2</v>
      </c>
      <c r="E71" s="45">
        <v>60</v>
      </c>
      <c r="F71" s="45">
        <v>65.900000000000006</v>
      </c>
      <c r="G71" s="45">
        <v>58.2</v>
      </c>
      <c r="H71" s="45">
        <v>56</v>
      </c>
      <c r="I71" s="45">
        <v>67</v>
      </c>
      <c r="J71" s="45">
        <v>64.5</v>
      </c>
      <c r="K71" s="45">
        <v>70.599999999999994</v>
      </c>
      <c r="L71" s="45">
        <v>74.900000000000006</v>
      </c>
      <c r="M71" s="45">
        <v>74.2</v>
      </c>
      <c r="N71" s="45">
        <v>58</v>
      </c>
      <c r="O71" s="45">
        <v>57.6</v>
      </c>
      <c r="P71" s="45">
        <v>57.6</v>
      </c>
      <c r="Q71" s="45">
        <v>61</v>
      </c>
      <c r="R71" s="45">
        <v>58.5</v>
      </c>
      <c r="S71" s="45">
        <v>60</v>
      </c>
      <c r="T71" s="45">
        <v>68</v>
      </c>
      <c r="U71" s="45">
        <v>71</v>
      </c>
      <c r="V71" s="45">
        <v>57</v>
      </c>
      <c r="W71" s="45">
        <v>65.2</v>
      </c>
      <c r="X71" s="45">
        <v>62.8</v>
      </c>
      <c r="Y71" s="45">
        <v>74</v>
      </c>
      <c r="Z71" s="45">
        <v>68</v>
      </c>
      <c r="AA71" s="45">
        <v>63</v>
      </c>
      <c r="AB71" s="45">
        <v>59</v>
      </c>
      <c r="AC71" s="45">
        <v>50.8</v>
      </c>
      <c r="AD71" s="45">
        <v>65</v>
      </c>
      <c r="AE71" s="45">
        <v>55.5</v>
      </c>
      <c r="AF71" s="45">
        <v>70</v>
      </c>
      <c r="AG71" s="51"/>
      <c r="AH71" s="47">
        <f t="shared" si="2"/>
        <v>74.900000000000006</v>
      </c>
      <c r="AI71" s="48">
        <f t="shared" si="3"/>
        <v>49.1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192</v>
      </c>
      <c r="C73" s="65">
        <v>153.5</v>
      </c>
      <c r="D73" s="65">
        <v>139</v>
      </c>
      <c r="E73" s="65">
        <v>147</v>
      </c>
      <c r="F73" s="65">
        <v>160</v>
      </c>
      <c r="G73" s="65">
        <v>220</v>
      </c>
      <c r="H73" s="65">
        <v>212</v>
      </c>
      <c r="I73" s="65">
        <v>247.9</v>
      </c>
      <c r="J73" s="65">
        <v>252</v>
      </c>
      <c r="K73" s="65">
        <v>245</v>
      </c>
      <c r="L73" s="65">
        <v>242</v>
      </c>
      <c r="M73" s="65">
        <v>242</v>
      </c>
      <c r="N73" s="65">
        <v>270</v>
      </c>
      <c r="O73" s="65">
        <v>330.2</v>
      </c>
      <c r="P73" s="65">
        <v>330.2</v>
      </c>
      <c r="Q73" s="65">
        <v>330</v>
      </c>
      <c r="R73" s="65">
        <v>325</v>
      </c>
      <c r="S73" s="65">
        <v>330</v>
      </c>
      <c r="T73" s="65">
        <v>337</v>
      </c>
      <c r="U73" s="65">
        <v>340</v>
      </c>
      <c r="V73" s="65">
        <v>341</v>
      </c>
      <c r="W73" s="65">
        <v>321</v>
      </c>
      <c r="X73" s="65">
        <v>341</v>
      </c>
      <c r="Y73" s="65">
        <v>335</v>
      </c>
      <c r="Z73" s="65">
        <v>317</v>
      </c>
      <c r="AA73" s="65">
        <v>276</v>
      </c>
      <c r="AB73" s="65">
        <v>279</v>
      </c>
      <c r="AC73" s="65">
        <v>255</v>
      </c>
      <c r="AD73" s="65">
        <v>288</v>
      </c>
      <c r="AE73" s="65">
        <v>234</v>
      </c>
      <c r="AF73" s="65">
        <v>234</v>
      </c>
      <c r="AG73" s="75"/>
      <c r="AH73" s="47">
        <f t="shared" si="2"/>
        <v>341</v>
      </c>
      <c r="AI73" s="48">
        <f t="shared" si="3"/>
        <v>139</v>
      </c>
      <c r="AK73" s="49"/>
    </row>
    <row r="74" spans="1:40" x14ac:dyDescent="0.25">
      <c r="A74" s="53" t="s">
        <v>78</v>
      </c>
      <c r="B74" s="65">
        <v>51.8</v>
      </c>
      <c r="C74" s="65">
        <v>51.8</v>
      </c>
      <c r="D74" s="76">
        <v>48.1</v>
      </c>
      <c r="E74" s="76">
        <v>37</v>
      </c>
      <c r="F74" s="76">
        <v>47</v>
      </c>
      <c r="G74" s="76">
        <v>27</v>
      </c>
      <c r="H74" s="76">
        <v>27</v>
      </c>
      <c r="I74" s="76">
        <v>44</v>
      </c>
      <c r="J74" s="76">
        <v>59</v>
      </c>
      <c r="K74" s="76">
        <v>60.2</v>
      </c>
      <c r="L74" s="76">
        <v>65</v>
      </c>
      <c r="M74" s="76">
        <v>65</v>
      </c>
      <c r="N74" s="76">
        <v>65</v>
      </c>
      <c r="O74" s="76">
        <v>58.1</v>
      </c>
      <c r="P74" s="76">
        <v>58.1</v>
      </c>
      <c r="Q74" s="76">
        <v>58.1</v>
      </c>
      <c r="R74" s="76">
        <v>58.1</v>
      </c>
      <c r="S74" s="76">
        <v>58.1</v>
      </c>
      <c r="T74" s="76">
        <v>58.1</v>
      </c>
      <c r="U74" s="76">
        <v>25</v>
      </c>
      <c r="V74" s="76">
        <v>58.1</v>
      </c>
      <c r="W74" s="76">
        <v>49</v>
      </c>
      <c r="X74" s="76">
        <v>49</v>
      </c>
      <c r="Y74" s="65">
        <v>66</v>
      </c>
      <c r="Z74" s="65">
        <v>71</v>
      </c>
      <c r="AA74" s="65">
        <v>68</v>
      </c>
      <c r="AB74" s="65">
        <v>65.900000000000006</v>
      </c>
      <c r="AC74" s="65">
        <v>66</v>
      </c>
      <c r="AD74" s="65">
        <v>72</v>
      </c>
      <c r="AE74" s="65">
        <v>50</v>
      </c>
      <c r="AF74" s="65">
        <v>50</v>
      </c>
      <c r="AG74" s="75"/>
      <c r="AH74" s="47">
        <f t="shared" si="2"/>
        <v>72</v>
      </c>
      <c r="AI74" s="48">
        <f t="shared" si="3"/>
        <v>25</v>
      </c>
      <c r="AK74" s="49"/>
    </row>
    <row r="75" spans="1:40" x14ac:dyDescent="0.25">
      <c r="A75" s="53" t="s">
        <v>79</v>
      </c>
      <c r="B75" s="45">
        <v>0</v>
      </c>
      <c r="C75" s="45">
        <v>28</v>
      </c>
      <c r="D75" s="45">
        <v>28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30</v>
      </c>
      <c r="K75" s="45">
        <v>33</v>
      </c>
      <c r="L75" s="45">
        <v>36</v>
      </c>
      <c r="M75" s="45">
        <v>36</v>
      </c>
      <c r="N75" s="45">
        <v>41</v>
      </c>
      <c r="O75" s="45">
        <v>42</v>
      </c>
      <c r="P75" s="45">
        <v>42</v>
      </c>
      <c r="Q75" s="45">
        <v>42</v>
      </c>
      <c r="R75" s="45">
        <v>42</v>
      </c>
      <c r="S75" s="45">
        <v>42</v>
      </c>
      <c r="T75" s="45">
        <v>42</v>
      </c>
      <c r="U75" s="45">
        <v>42</v>
      </c>
      <c r="V75" s="45">
        <v>71</v>
      </c>
      <c r="W75" s="45">
        <v>72</v>
      </c>
      <c r="X75" s="45">
        <v>72</v>
      </c>
      <c r="Y75" s="45">
        <v>72</v>
      </c>
      <c r="Z75" s="45">
        <v>72</v>
      </c>
      <c r="AA75" s="45">
        <v>72</v>
      </c>
      <c r="AB75" s="45">
        <v>80</v>
      </c>
      <c r="AC75" s="45">
        <v>80</v>
      </c>
      <c r="AD75" s="45">
        <v>80</v>
      </c>
      <c r="AE75" s="45">
        <v>80</v>
      </c>
      <c r="AF75" s="45">
        <v>88</v>
      </c>
      <c r="AG75" s="75"/>
      <c r="AH75" s="47">
        <f t="shared" ref="AH75:AH117" si="24">MAX(B75:AF75)</f>
        <v>88</v>
      </c>
      <c r="AI75" s="48">
        <f t="shared" ref="AI75:AI117" si="25">MIN(B75:AF75)</f>
        <v>0</v>
      </c>
      <c r="AK75" s="49"/>
    </row>
    <row r="76" spans="1:40" x14ac:dyDescent="0.25">
      <c r="A76" s="53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24"/>
        <v>5</v>
      </c>
      <c r="AI76" s="48">
        <f t="shared" si="25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24"/>
        <v>0</v>
      </c>
      <c r="AI77" s="48">
        <f t="shared" si="25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24"/>
        <v>0</v>
      </c>
      <c r="AI78" s="48">
        <f t="shared" si="25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24"/>
        <v>0</v>
      </c>
      <c r="AI79" s="48">
        <f t="shared" si="25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24"/>
        <v>0</v>
      </c>
      <c r="AI80" s="48">
        <f t="shared" si="25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24"/>
        <v>0</v>
      </c>
      <c r="AI81" s="48">
        <f t="shared" si="25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26">SUMIF(B71:B81,"&gt;0")</f>
        <v>300.8</v>
      </c>
      <c r="C82" s="60">
        <f t="shared" ref="C82:AF82" si="27">SUMIF(C71:C81,"&gt;0")</f>
        <v>282.39999999999998</v>
      </c>
      <c r="D82" s="60">
        <f t="shared" si="27"/>
        <v>268.29999999999995</v>
      </c>
      <c r="E82" s="60">
        <f t="shared" si="27"/>
        <v>244</v>
      </c>
      <c r="F82" s="60">
        <f t="shared" si="27"/>
        <v>272.89999999999998</v>
      </c>
      <c r="G82" s="60">
        <f t="shared" si="27"/>
        <v>305.2</v>
      </c>
      <c r="H82" s="60">
        <f t="shared" si="27"/>
        <v>295</v>
      </c>
      <c r="I82" s="60">
        <f t="shared" si="27"/>
        <v>358.9</v>
      </c>
      <c r="J82" s="60">
        <f t="shared" si="27"/>
        <v>405.5</v>
      </c>
      <c r="K82" s="60">
        <f t="shared" si="27"/>
        <v>408.8</v>
      </c>
      <c r="L82" s="60">
        <f t="shared" si="27"/>
        <v>417.9</v>
      </c>
      <c r="M82" s="60">
        <f t="shared" si="27"/>
        <v>417.2</v>
      </c>
      <c r="N82" s="60">
        <f t="shared" ref="N82" si="28">SUMIF(N71:N81,"&gt;0")</f>
        <v>434</v>
      </c>
      <c r="O82" s="60">
        <f t="shared" si="27"/>
        <v>487.90000000000003</v>
      </c>
      <c r="P82" s="60">
        <f t="shared" ref="P82:Q82" si="29">SUMIF(P71:P81,"&gt;0")</f>
        <v>487.90000000000003</v>
      </c>
      <c r="Q82" s="60">
        <f t="shared" si="29"/>
        <v>491.1</v>
      </c>
      <c r="R82" s="60">
        <f t="shared" ref="R82" si="30">SUMIF(R71:R81,"&gt;0")</f>
        <v>483.6</v>
      </c>
      <c r="S82" s="60">
        <f t="shared" si="27"/>
        <v>490.1</v>
      </c>
      <c r="T82" s="60">
        <f t="shared" si="27"/>
        <v>505.1</v>
      </c>
      <c r="U82" s="60">
        <f t="shared" si="27"/>
        <v>483</v>
      </c>
      <c r="V82" s="60">
        <f t="shared" si="27"/>
        <v>532.1</v>
      </c>
      <c r="W82" s="60">
        <f t="shared" si="27"/>
        <v>512.20000000000005</v>
      </c>
      <c r="X82" s="60">
        <f t="shared" si="27"/>
        <v>529.79999999999995</v>
      </c>
      <c r="Y82" s="60">
        <f t="shared" si="27"/>
        <v>552</v>
      </c>
      <c r="Z82" s="60">
        <f t="shared" si="27"/>
        <v>533</v>
      </c>
      <c r="AA82" s="60">
        <f t="shared" si="27"/>
        <v>484</v>
      </c>
      <c r="AB82" s="60">
        <f t="shared" si="27"/>
        <v>488.9</v>
      </c>
      <c r="AC82" s="60">
        <f t="shared" si="27"/>
        <v>456.8</v>
      </c>
      <c r="AD82" s="60">
        <f t="shared" si="27"/>
        <v>510</v>
      </c>
      <c r="AE82" s="60">
        <f t="shared" si="27"/>
        <v>424.5</v>
      </c>
      <c r="AF82" s="60">
        <f t="shared" si="27"/>
        <v>447</v>
      </c>
      <c r="AG82" s="88">
        <f>SUM(AG71:AG81)</f>
        <v>0</v>
      </c>
      <c r="AH82" s="47">
        <f t="shared" si="24"/>
        <v>552</v>
      </c>
      <c r="AI82" s="48">
        <f t="shared" si="25"/>
        <v>244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24"/>
        <v>0</v>
      </c>
      <c r="AI83" s="48">
        <f t="shared" si="25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24"/>
        <v>0</v>
      </c>
      <c r="AI84" s="48">
        <f t="shared" si="25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24"/>
        <v>0</v>
      </c>
      <c r="AI85" s="48">
        <f t="shared" si="25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24"/>
        <v>0</v>
      </c>
      <c r="AI86" s="48">
        <f t="shared" si="25"/>
        <v>0</v>
      </c>
    </row>
    <row r="87" spans="1:40" ht="15.75" thickBot="1" x14ac:dyDescent="0.3">
      <c r="A87" s="74" t="s">
        <v>94</v>
      </c>
      <c r="B87" s="95">
        <f t="shared" ref="B87" si="31">B48+B52+B70+B66+B82+B86</f>
        <v>800.33999999999992</v>
      </c>
      <c r="C87" s="95">
        <f t="shared" ref="C87:AG87" si="32">C48+C52+C70+C66+C82+C86</f>
        <v>759.43999999999994</v>
      </c>
      <c r="D87" s="95">
        <f t="shared" si="32"/>
        <v>745.33999999999992</v>
      </c>
      <c r="E87" s="95">
        <f t="shared" si="32"/>
        <v>721.04</v>
      </c>
      <c r="F87" s="95">
        <f t="shared" si="32"/>
        <v>749.93999999999994</v>
      </c>
      <c r="G87" s="95">
        <f t="shared" si="32"/>
        <v>800.94</v>
      </c>
      <c r="H87" s="95">
        <f t="shared" si="32"/>
        <v>816.83999999999992</v>
      </c>
      <c r="I87" s="95">
        <f t="shared" si="32"/>
        <v>944.64</v>
      </c>
      <c r="J87" s="95">
        <f t="shared" si="32"/>
        <v>1050.6399999999999</v>
      </c>
      <c r="K87" s="95">
        <f t="shared" si="32"/>
        <v>1153.24</v>
      </c>
      <c r="L87" s="95">
        <f t="shared" si="32"/>
        <v>1199.3399999999999</v>
      </c>
      <c r="M87" s="95">
        <f t="shared" si="32"/>
        <v>1205.6400000000001</v>
      </c>
      <c r="N87" s="95">
        <f t="shared" ref="N87" si="33">N48+N52+N70+N66+N82+N86</f>
        <v>1156.9099999999999</v>
      </c>
      <c r="O87" s="95">
        <f t="shared" si="32"/>
        <v>1128.32</v>
      </c>
      <c r="P87" s="95">
        <f t="shared" ref="P87:Q87" si="34">P48+P52+P70+P66+P82+P86</f>
        <v>1139.52</v>
      </c>
      <c r="Q87" s="95">
        <f t="shared" si="34"/>
        <v>1149.6199999999999</v>
      </c>
      <c r="R87" s="95">
        <f t="shared" ref="R87" si="35">R48+R52+R70+R66+R82+R86</f>
        <v>1151.42</v>
      </c>
      <c r="S87" s="95">
        <f t="shared" si="32"/>
        <v>1170.92</v>
      </c>
      <c r="T87" s="95">
        <f t="shared" si="32"/>
        <v>1194.7199999999998</v>
      </c>
      <c r="U87" s="95">
        <f t="shared" si="32"/>
        <v>1155.02</v>
      </c>
      <c r="V87" s="95">
        <f t="shared" si="32"/>
        <v>1171.42</v>
      </c>
      <c r="W87" s="95">
        <f t="shared" si="32"/>
        <v>1138.04</v>
      </c>
      <c r="X87" s="95">
        <f t="shared" si="32"/>
        <v>1175.6399999999999</v>
      </c>
      <c r="Y87" s="95">
        <f t="shared" si="32"/>
        <v>1383.8400000000001</v>
      </c>
      <c r="Z87" s="95">
        <f t="shared" si="32"/>
        <v>1396.54</v>
      </c>
      <c r="AA87" s="95">
        <f t="shared" si="32"/>
        <v>1331.54</v>
      </c>
      <c r="AB87" s="95">
        <f t="shared" si="32"/>
        <v>1297.44</v>
      </c>
      <c r="AC87" s="95">
        <f t="shared" si="32"/>
        <v>1261.3399999999999</v>
      </c>
      <c r="AD87" s="95">
        <f t="shared" si="32"/>
        <v>1247.1399999999999</v>
      </c>
      <c r="AE87" s="95">
        <f t="shared" si="32"/>
        <v>1104.44</v>
      </c>
      <c r="AF87" s="95">
        <f t="shared" si="32"/>
        <v>1047.54</v>
      </c>
      <c r="AG87" s="61">
        <f t="shared" si="32"/>
        <v>2065.09</v>
      </c>
      <c r="AH87" s="47">
        <f>MAX(B87:AF87)</f>
        <v>1396.54</v>
      </c>
      <c r="AI87" s="48">
        <f>MIN(B87:AF87)</f>
        <v>721.04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>
        <v>100</v>
      </c>
      <c r="X88" s="97">
        <v>100</v>
      </c>
      <c r="Y88" s="97">
        <v>100</v>
      </c>
      <c r="Z88" s="97">
        <v>100</v>
      </c>
      <c r="AA88" s="97">
        <v>100</v>
      </c>
      <c r="AB88" s="97">
        <v>80</v>
      </c>
      <c r="AC88" s="97">
        <v>80</v>
      </c>
      <c r="AD88" s="97"/>
      <c r="AE88" s="97"/>
      <c r="AF88" s="97"/>
      <c r="AG88" s="88"/>
      <c r="AH88" s="47">
        <f t="shared" si="24"/>
        <v>100</v>
      </c>
      <c r="AI88" s="48">
        <f t="shared" si="25"/>
        <v>80</v>
      </c>
    </row>
    <row r="89" spans="1:40" ht="15.75" thickBot="1" x14ac:dyDescent="0.3">
      <c r="A89" s="74" t="s">
        <v>96</v>
      </c>
      <c r="B89" s="95">
        <f t="shared" ref="B89" si="36">B87+B88</f>
        <v>800.33999999999992</v>
      </c>
      <c r="C89" s="95">
        <f t="shared" ref="C89:AF89" si="37">C87+C88</f>
        <v>759.43999999999994</v>
      </c>
      <c r="D89" s="95">
        <f t="shared" si="37"/>
        <v>745.33999999999992</v>
      </c>
      <c r="E89" s="95">
        <f t="shared" si="37"/>
        <v>721.04</v>
      </c>
      <c r="F89" s="95">
        <f t="shared" si="37"/>
        <v>749.93999999999994</v>
      </c>
      <c r="G89" s="95">
        <f t="shared" si="37"/>
        <v>800.94</v>
      </c>
      <c r="H89" s="95">
        <f t="shared" si="37"/>
        <v>816.83999999999992</v>
      </c>
      <c r="I89" s="95">
        <f t="shared" si="37"/>
        <v>944.64</v>
      </c>
      <c r="J89" s="95">
        <f t="shared" si="37"/>
        <v>1050.6399999999999</v>
      </c>
      <c r="K89" s="95">
        <f t="shared" si="37"/>
        <v>1153.24</v>
      </c>
      <c r="L89" s="95">
        <f t="shared" si="37"/>
        <v>1199.3399999999999</v>
      </c>
      <c r="M89" s="95">
        <f t="shared" si="37"/>
        <v>1205.6400000000001</v>
      </c>
      <c r="N89" s="95">
        <f t="shared" ref="N89" si="38">N87+N88</f>
        <v>1156.9099999999999</v>
      </c>
      <c r="O89" s="95">
        <f t="shared" si="37"/>
        <v>1128.32</v>
      </c>
      <c r="P89" s="95">
        <f t="shared" ref="P89:Q89" si="39">P87+P88</f>
        <v>1139.52</v>
      </c>
      <c r="Q89" s="95">
        <f t="shared" si="39"/>
        <v>1149.6199999999999</v>
      </c>
      <c r="R89" s="95">
        <f t="shared" ref="R89" si="40">R87+R88</f>
        <v>1151.42</v>
      </c>
      <c r="S89" s="95">
        <f t="shared" si="37"/>
        <v>1170.92</v>
      </c>
      <c r="T89" s="95">
        <f t="shared" si="37"/>
        <v>1194.7199999999998</v>
      </c>
      <c r="U89" s="95">
        <f t="shared" si="37"/>
        <v>1155.02</v>
      </c>
      <c r="V89" s="95">
        <f t="shared" si="37"/>
        <v>1171.42</v>
      </c>
      <c r="W89" s="95">
        <f t="shared" si="37"/>
        <v>1238.04</v>
      </c>
      <c r="X89" s="95">
        <f t="shared" si="37"/>
        <v>1275.6399999999999</v>
      </c>
      <c r="Y89" s="95">
        <f t="shared" si="37"/>
        <v>1483.8400000000001</v>
      </c>
      <c r="Z89" s="95">
        <f t="shared" si="37"/>
        <v>1496.54</v>
      </c>
      <c r="AA89" s="95">
        <f t="shared" si="37"/>
        <v>1431.54</v>
      </c>
      <c r="AB89" s="95">
        <f t="shared" si="37"/>
        <v>1377.44</v>
      </c>
      <c r="AC89" s="95">
        <f t="shared" si="37"/>
        <v>1341.34</v>
      </c>
      <c r="AD89" s="95">
        <f t="shared" si="37"/>
        <v>1247.1399999999999</v>
      </c>
      <c r="AE89" s="95">
        <f t="shared" si="37"/>
        <v>1104.44</v>
      </c>
      <c r="AF89" s="95">
        <f t="shared" si="37"/>
        <v>1047.54</v>
      </c>
      <c r="AG89" s="88">
        <f>AG86+AG82+AG70+AG66+AG48+AG88</f>
        <v>1526.99</v>
      </c>
      <c r="AH89" s="47">
        <f t="shared" si="24"/>
        <v>1496.54</v>
      </c>
      <c r="AI89" s="48">
        <f t="shared" si="25"/>
        <v>721.04</v>
      </c>
    </row>
    <row r="90" spans="1:40" ht="15.75" thickBot="1" x14ac:dyDescent="0.3">
      <c r="A90" s="74" t="s">
        <v>97</v>
      </c>
      <c r="B90" s="95">
        <f t="shared" ref="B90" si="41">B89-B97</f>
        <v>800.33999999999992</v>
      </c>
      <c r="C90" s="95">
        <f t="shared" ref="C90:AF90" si="42">C89-C97</f>
        <v>759.43999999999994</v>
      </c>
      <c r="D90" s="95">
        <f t="shared" si="42"/>
        <v>745.33999999999992</v>
      </c>
      <c r="E90" s="95">
        <f t="shared" si="42"/>
        <v>721.04</v>
      </c>
      <c r="F90" s="95">
        <f t="shared" si="42"/>
        <v>749.93999999999994</v>
      </c>
      <c r="G90" s="95">
        <f t="shared" si="42"/>
        <v>800.94</v>
      </c>
      <c r="H90" s="95">
        <f t="shared" si="42"/>
        <v>816.83999999999992</v>
      </c>
      <c r="I90" s="95">
        <f t="shared" si="42"/>
        <v>944.64</v>
      </c>
      <c r="J90" s="95">
        <f t="shared" si="42"/>
        <v>1050.6399999999999</v>
      </c>
      <c r="K90" s="95">
        <f t="shared" si="42"/>
        <v>1153.24</v>
      </c>
      <c r="L90" s="95">
        <f t="shared" si="42"/>
        <v>1199.3399999999999</v>
      </c>
      <c r="M90" s="95">
        <f t="shared" si="42"/>
        <v>1205.6400000000001</v>
      </c>
      <c r="N90" s="95">
        <f t="shared" ref="N90" si="43">N89-N97</f>
        <v>1156.9099999999999</v>
      </c>
      <c r="O90" s="95">
        <f t="shared" si="42"/>
        <v>1128.32</v>
      </c>
      <c r="P90" s="95">
        <f t="shared" ref="P90:Q90" si="44">P89-P97</f>
        <v>1139.52</v>
      </c>
      <c r="Q90" s="95">
        <f t="shared" si="44"/>
        <v>1149.6199999999999</v>
      </c>
      <c r="R90" s="95">
        <f t="shared" ref="R90" si="45">R89-R97</f>
        <v>1151.42</v>
      </c>
      <c r="S90" s="95">
        <f t="shared" si="42"/>
        <v>1170.92</v>
      </c>
      <c r="T90" s="95">
        <f t="shared" si="42"/>
        <v>1194.7199999999998</v>
      </c>
      <c r="U90" s="95">
        <f t="shared" si="42"/>
        <v>1155.02</v>
      </c>
      <c r="V90" s="95">
        <f t="shared" si="42"/>
        <v>1171.42</v>
      </c>
      <c r="W90" s="95">
        <f t="shared" si="42"/>
        <v>1238.04</v>
      </c>
      <c r="X90" s="95">
        <f t="shared" si="42"/>
        <v>1275.6399999999999</v>
      </c>
      <c r="Y90" s="95">
        <f t="shared" si="42"/>
        <v>1483.8400000000001</v>
      </c>
      <c r="Z90" s="95">
        <f t="shared" si="42"/>
        <v>1496.54</v>
      </c>
      <c r="AA90" s="95">
        <f t="shared" si="42"/>
        <v>1431.54</v>
      </c>
      <c r="AB90" s="95">
        <f t="shared" si="42"/>
        <v>1377.44</v>
      </c>
      <c r="AC90" s="95">
        <f t="shared" si="42"/>
        <v>1341.34</v>
      </c>
      <c r="AD90" s="95">
        <f t="shared" si="42"/>
        <v>1247.1399999999999</v>
      </c>
      <c r="AE90" s="95">
        <f t="shared" si="42"/>
        <v>1104.44</v>
      </c>
      <c r="AF90" s="95">
        <f t="shared" si="42"/>
        <v>1047.54</v>
      </c>
      <c r="AG90" s="88"/>
      <c r="AH90" s="47">
        <f t="shared" si="24"/>
        <v>1496.54</v>
      </c>
      <c r="AI90" s="48">
        <f t="shared" si="25"/>
        <v>721.04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24"/>
        <v>0</v>
      </c>
      <c r="AI91" s="48">
        <f t="shared" si="25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24"/>
        <v>0</v>
      </c>
      <c r="AI92" s="48">
        <f t="shared" si="25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24"/>
        <v>0</v>
      </c>
      <c r="AI93" s="48">
        <f t="shared" si="25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24"/>
        <v>0</v>
      </c>
      <c r="AI94" s="48">
        <f t="shared" si="25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4"/>
        <v>0</v>
      </c>
      <c r="AI95" s="48">
        <f t="shared" si="25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24"/>
        <v>0</v>
      </c>
      <c r="AI96" s="48">
        <f t="shared" si="25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24"/>
        <v>0</v>
      </c>
      <c r="AI97" s="48">
        <f t="shared" si="25"/>
        <v>0</v>
      </c>
      <c r="AK97" s="49"/>
    </row>
    <row r="98" spans="1:37" ht="15.75" thickBot="1" x14ac:dyDescent="0.3">
      <c r="A98" s="74" t="s">
        <v>102</v>
      </c>
      <c r="B98" s="60">
        <f t="shared" ref="B98" si="46">B82-B97</f>
        <v>300.8</v>
      </c>
      <c r="C98" s="60">
        <f t="shared" ref="C98:AF98" si="47">C82-C97</f>
        <v>282.39999999999998</v>
      </c>
      <c r="D98" s="60">
        <f t="shared" si="47"/>
        <v>268.29999999999995</v>
      </c>
      <c r="E98" s="60">
        <f t="shared" si="47"/>
        <v>244</v>
      </c>
      <c r="F98" s="60">
        <f t="shared" si="47"/>
        <v>272.89999999999998</v>
      </c>
      <c r="G98" s="60">
        <f t="shared" si="47"/>
        <v>305.2</v>
      </c>
      <c r="H98" s="60">
        <f t="shared" si="47"/>
        <v>295</v>
      </c>
      <c r="I98" s="60">
        <f t="shared" si="47"/>
        <v>358.9</v>
      </c>
      <c r="J98" s="60">
        <f t="shared" si="47"/>
        <v>405.5</v>
      </c>
      <c r="K98" s="60">
        <f t="shared" si="47"/>
        <v>408.8</v>
      </c>
      <c r="L98" s="60">
        <f t="shared" si="47"/>
        <v>417.9</v>
      </c>
      <c r="M98" s="60">
        <f t="shared" si="47"/>
        <v>417.2</v>
      </c>
      <c r="N98" s="60">
        <f t="shared" ref="N98" si="48">N82-N97</f>
        <v>434</v>
      </c>
      <c r="O98" s="60">
        <f t="shared" si="47"/>
        <v>487.90000000000003</v>
      </c>
      <c r="P98" s="60">
        <f t="shared" ref="P98:Q98" si="49">P82-P97</f>
        <v>487.90000000000003</v>
      </c>
      <c r="Q98" s="60">
        <f t="shared" si="49"/>
        <v>491.1</v>
      </c>
      <c r="R98" s="60">
        <f t="shared" ref="R98" si="50">R82-R97</f>
        <v>483.6</v>
      </c>
      <c r="S98" s="60">
        <f t="shared" si="47"/>
        <v>490.1</v>
      </c>
      <c r="T98" s="60">
        <f t="shared" si="47"/>
        <v>505.1</v>
      </c>
      <c r="U98" s="60">
        <f t="shared" si="47"/>
        <v>483</v>
      </c>
      <c r="V98" s="60">
        <f t="shared" si="47"/>
        <v>532.1</v>
      </c>
      <c r="W98" s="60">
        <f t="shared" si="47"/>
        <v>512.20000000000005</v>
      </c>
      <c r="X98" s="60">
        <f t="shared" si="47"/>
        <v>529.79999999999995</v>
      </c>
      <c r="Y98" s="60">
        <f t="shared" si="47"/>
        <v>552</v>
      </c>
      <c r="Z98" s="60">
        <f t="shared" si="47"/>
        <v>533</v>
      </c>
      <c r="AA98" s="60">
        <f t="shared" si="47"/>
        <v>484</v>
      </c>
      <c r="AB98" s="60">
        <f t="shared" si="47"/>
        <v>488.9</v>
      </c>
      <c r="AC98" s="60">
        <f t="shared" si="47"/>
        <v>456.8</v>
      </c>
      <c r="AD98" s="60">
        <f t="shared" si="47"/>
        <v>510</v>
      </c>
      <c r="AE98" s="60">
        <f t="shared" si="47"/>
        <v>424.5</v>
      </c>
      <c r="AF98" s="60">
        <f t="shared" si="47"/>
        <v>447</v>
      </c>
      <c r="AG98" s="88"/>
      <c r="AH98" s="47">
        <f t="shared" si="24"/>
        <v>552</v>
      </c>
      <c r="AI98" s="48">
        <f t="shared" si="25"/>
        <v>244</v>
      </c>
    </row>
    <row r="99" spans="1:37" x14ac:dyDescent="0.25">
      <c r="A99" s="100" t="s">
        <v>103</v>
      </c>
      <c r="B99" s="101">
        <v>50.000999999999998</v>
      </c>
      <c r="C99" s="101">
        <v>50.125999999999998</v>
      </c>
      <c r="D99" s="101">
        <v>49.997</v>
      </c>
      <c r="E99" s="101">
        <v>49.941000000000003</v>
      </c>
      <c r="F99" s="101">
        <v>50</v>
      </c>
      <c r="G99" s="101">
        <v>50</v>
      </c>
      <c r="H99" s="101">
        <v>50</v>
      </c>
      <c r="I99" s="101">
        <v>49.954999999999998</v>
      </c>
      <c r="J99" s="101">
        <v>50.05</v>
      </c>
      <c r="K99" s="101">
        <v>50</v>
      </c>
      <c r="L99" s="101">
        <v>49.970999999999997</v>
      </c>
      <c r="M99" s="101">
        <v>49.96</v>
      </c>
      <c r="N99" s="101">
        <v>49.96</v>
      </c>
      <c r="O99" s="101">
        <v>49.99</v>
      </c>
      <c r="P99" s="101">
        <v>49.99</v>
      </c>
      <c r="Q99" s="101">
        <v>50.05</v>
      </c>
      <c r="R99" s="101">
        <v>49.98</v>
      </c>
      <c r="S99" s="101">
        <v>49.97</v>
      </c>
      <c r="T99" s="101">
        <v>49.869</v>
      </c>
      <c r="U99" s="101">
        <v>50</v>
      </c>
      <c r="V99" s="101">
        <v>49.984999999999999</v>
      </c>
      <c r="W99" s="101">
        <v>50.078000000000003</v>
      </c>
      <c r="X99" s="101">
        <v>49.884</v>
      </c>
      <c r="Y99" s="101">
        <v>50.058</v>
      </c>
      <c r="Z99" s="101">
        <v>50.02</v>
      </c>
      <c r="AA99" s="101">
        <v>49.877000000000002</v>
      </c>
      <c r="AB99" s="101">
        <v>50.054000000000002</v>
      </c>
      <c r="AC99" s="101">
        <v>50.029000000000003</v>
      </c>
      <c r="AD99" s="101">
        <v>49.997</v>
      </c>
      <c r="AE99" s="101">
        <v>49.991</v>
      </c>
      <c r="AF99" s="101">
        <v>49.959000000000003</v>
      </c>
      <c r="AG99" s="102"/>
      <c r="AH99" s="47">
        <f t="shared" si="24"/>
        <v>50.125999999999998</v>
      </c>
      <c r="AI99" s="48">
        <f t="shared" si="25"/>
        <v>49.869</v>
      </c>
    </row>
    <row r="100" spans="1:37" x14ac:dyDescent="0.25">
      <c r="A100" s="103" t="s">
        <v>104</v>
      </c>
      <c r="B100" s="65">
        <v>132.6</v>
      </c>
      <c r="C100" s="65">
        <v>134.4</v>
      </c>
      <c r="D100" s="65">
        <v>134.4</v>
      </c>
      <c r="E100" s="65">
        <v>133.80000000000001</v>
      </c>
      <c r="F100" s="65">
        <v>133.80000000000001</v>
      </c>
      <c r="G100" s="65">
        <v>133.80000000000001</v>
      </c>
      <c r="H100" s="65">
        <v>131.5</v>
      </c>
      <c r="I100" s="65">
        <v>131.5</v>
      </c>
      <c r="J100" s="65">
        <v>130</v>
      </c>
      <c r="K100" s="65">
        <v>130</v>
      </c>
      <c r="L100" s="65">
        <v>127</v>
      </c>
      <c r="M100" s="65">
        <v>127.6</v>
      </c>
      <c r="N100" s="65">
        <v>127.6</v>
      </c>
      <c r="O100" s="65">
        <v>127.1</v>
      </c>
      <c r="P100" s="65">
        <v>127.1</v>
      </c>
      <c r="Q100" s="65">
        <v>127.9</v>
      </c>
      <c r="R100" s="65">
        <v>125.8</v>
      </c>
      <c r="S100" s="65">
        <v>125.4</v>
      </c>
      <c r="T100" s="65">
        <v>125</v>
      </c>
      <c r="U100" s="65">
        <v>126</v>
      </c>
      <c r="V100" s="65">
        <v>127.7</v>
      </c>
      <c r="W100" s="65">
        <v>128</v>
      </c>
      <c r="X100" s="65">
        <v>127</v>
      </c>
      <c r="Y100" s="65">
        <v>128.5</v>
      </c>
      <c r="Z100" s="65">
        <v>129.1</v>
      </c>
      <c r="AA100" s="65">
        <v>128.6</v>
      </c>
      <c r="AB100" s="65">
        <v>130</v>
      </c>
      <c r="AC100" s="65">
        <v>129.80000000000001</v>
      </c>
      <c r="AD100" s="65">
        <v>129.69999999999999</v>
      </c>
      <c r="AE100" s="65">
        <v>132.30000000000001</v>
      </c>
      <c r="AF100" s="65">
        <v>131.69999999999999</v>
      </c>
      <c r="AG100" s="104"/>
      <c r="AH100" s="47">
        <f t="shared" si="24"/>
        <v>134.4</v>
      </c>
      <c r="AI100" s="48">
        <f t="shared" si="25"/>
        <v>125</v>
      </c>
    </row>
    <row r="101" spans="1:37" x14ac:dyDescent="0.25">
      <c r="A101" s="103" t="s">
        <v>105</v>
      </c>
      <c r="B101" s="65">
        <v>135.4</v>
      </c>
      <c r="C101" s="65">
        <v>136.9</v>
      </c>
      <c r="D101" s="65">
        <v>136.9</v>
      </c>
      <c r="E101" s="65">
        <v>136</v>
      </c>
      <c r="F101" s="65">
        <v>136.5</v>
      </c>
      <c r="G101" s="65">
        <v>136.5</v>
      </c>
      <c r="H101" s="65">
        <v>134</v>
      </c>
      <c r="I101" s="65">
        <v>134</v>
      </c>
      <c r="J101" s="65">
        <v>132</v>
      </c>
      <c r="K101" s="65">
        <v>132</v>
      </c>
      <c r="L101" s="65">
        <v>129</v>
      </c>
      <c r="M101" s="65">
        <v>129.9</v>
      </c>
      <c r="N101" s="65">
        <v>129.9</v>
      </c>
      <c r="O101" s="65">
        <v>129.30000000000001</v>
      </c>
      <c r="P101" s="65">
        <v>129.30000000000001</v>
      </c>
      <c r="Q101" s="65">
        <v>129.9</v>
      </c>
      <c r="R101" s="65">
        <v>128.19999999999999</v>
      </c>
      <c r="S101" s="65">
        <v>127.8</v>
      </c>
      <c r="T101" s="65">
        <v>127</v>
      </c>
      <c r="U101" s="65">
        <v>128.30000000000001</v>
      </c>
      <c r="V101" s="65">
        <v>129.69999999999999</v>
      </c>
      <c r="W101" s="65">
        <v>130.19999999999999</v>
      </c>
      <c r="X101" s="65">
        <v>129.1</v>
      </c>
      <c r="Y101" s="65">
        <v>130.9</v>
      </c>
      <c r="Z101" s="65">
        <v>131.4</v>
      </c>
      <c r="AA101" s="65">
        <v>131.1</v>
      </c>
      <c r="AB101" s="65">
        <v>132.4</v>
      </c>
      <c r="AC101" s="65">
        <v>132.4</v>
      </c>
      <c r="AD101" s="65">
        <v>132.19999999999999</v>
      </c>
      <c r="AE101" s="65">
        <v>135</v>
      </c>
      <c r="AF101" s="65">
        <v>134.5</v>
      </c>
      <c r="AG101" s="104"/>
      <c r="AH101" s="47">
        <f t="shared" si="24"/>
        <v>136.9</v>
      </c>
      <c r="AI101" s="48">
        <f t="shared" si="25"/>
        <v>127</v>
      </c>
    </row>
    <row r="102" spans="1:37" x14ac:dyDescent="0.25">
      <c r="A102" s="103" t="s">
        <v>106</v>
      </c>
      <c r="B102" s="65">
        <v>133.6</v>
      </c>
      <c r="C102" s="65">
        <v>133.80000000000001</v>
      </c>
      <c r="D102" s="65">
        <v>133.80000000000001</v>
      </c>
      <c r="E102" s="65">
        <v>133.5</v>
      </c>
      <c r="F102" s="65">
        <v>133</v>
      </c>
      <c r="G102" s="65">
        <v>133</v>
      </c>
      <c r="H102" s="65">
        <v>131</v>
      </c>
      <c r="I102" s="65">
        <v>131</v>
      </c>
      <c r="J102" s="65">
        <v>128</v>
      </c>
      <c r="K102" s="65">
        <v>128</v>
      </c>
      <c r="L102" s="65">
        <v>127.8</v>
      </c>
      <c r="M102" s="65">
        <v>130.69999999999999</v>
      </c>
      <c r="N102" s="65">
        <v>130.69999999999999</v>
      </c>
      <c r="O102" s="65">
        <v>130</v>
      </c>
      <c r="P102" s="65">
        <v>130</v>
      </c>
      <c r="Q102" s="65">
        <v>127.3</v>
      </c>
      <c r="R102" s="65">
        <v>125.9</v>
      </c>
      <c r="S102" s="65">
        <v>127.5</v>
      </c>
      <c r="T102" s="65">
        <v>126</v>
      </c>
      <c r="U102" s="65">
        <v>128.6</v>
      </c>
      <c r="V102" s="65">
        <v>128</v>
      </c>
      <c r="W102" s="65">
        <v>129.19999999999999</v>
      </c>
      <c r="X102" s="65">
        <v>128.69999999999999</v>
      </c>
      <c r="Y102" s="65">
        <v>128.5</v>
      </c>
      <c r="Z102" s="65">
        <v>129</v>
      </c>
      <c r="AA102" s="65">
        <v>130</v>
      </c>
      <c r="AB102" s="65">
        <v>128.30000000000001</v>
      </c>
      <c r="AC102" s="65">
        <v>127.9</v>
      </c>
      <c r="AD102" s="65">
        <v>130.9</v>
      </c>
      <c r="AE102" s="65">
        <v>131</v>
      </c>
      <c r="AF102" s="65">
        <v>129.4</v>
      </c>
      <c r="AG102" s="104"/>
      <c r="AH102" s="47">
        <f t="shared" si="24"/>
        <v>133.80000000000001</v>
      </c>
      <c r="AI102" s="48">
        <f t="shared" si="25"/>
        <v>125.9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24"/>
        <v>0</v>
      </c>
      <c r="AI103" s="48">
        <f t="shared" si="25"/>
        <v>0</v>
      </c>
    </row>
    <row r="104" spans="1:37" x14ac:dyDescent="0.25">
      <c r="A104" s="105" t="s">
        <v>108</v>
      </c>
      <c r="B104" s="106">
        <v>133.9</v>
      </c>
      <c r="C104" s="106">
        <v>136.69999999999999</v>
      </c>
      <c r="D104" s="106">
        <v>136.69999999999999</v>
      </c>
      <c r="E104" s="106">
        <v>135.69999999999999</v>
      </c>
      <c r="F104" s="106">
        <v>135.6</v>
      </c>
      <c r="G104" s="106">
        <v>135.6</v>
      </c>
      <c r="H104" s="106">
        <v>135.74</v>
      </c>
      <c r="I104" s="106">
        <v>135.74</v>
      </c>
      <c r="J104" s="106">
        <v>134</v>
      </c>
      <c r="K104" s="106">
        <v>134</v>
      </c>
      <c r="L104" s="106">
        <v>133</v>
      </c>
      <c r="M104" s="106">
        <v>134</v>
      </c>
      <c r="N104" s="106">
        <v>134</v>
      </c>
      <c r="O104" s="106">
        <v>132.9</v>
      </c>
      <c r="P104" s="106">
        <v>132.9</v>
      </c>
      <c r="Q104" s="106">
        <v>135.4</v>
      </c>
      <c r="R104" s="106">
        <v>132.19999999999999</v>
      </c>
      <c r="S104" s="106">
        <v>132</v>
      </c>
      <c r="T104" s="106">
        <v>132</v>
      </c>
      <c r="U104" s="106">
        <v>134.1</v>
      </c>
      <c r="V104" s="106">
        <v>134.1</v>
      </c>
      <c r="W104" s="106">
        <v>135.19999999999999</v>
      </c>
      <c r="X104" s="106">
        <v>132.6</v>
      </c>
      <c r="Y104" s="106">
        <v>135.19999999999999</v>
      </c>
      <c r="Z104" s="106">
        <v>136.5</v>
      </c>
      <c r="AA104" s="106">
        <v>136.4</v>
      </c>
      <c r="AB104" s="106">
        <v>137.4</v>
      </c>
      <c r="AC104" s="106">
        <v>136.80000000000001</v>
      </c>
      <c r="AD104" s="106">
        <v>136.9</v>
      </c>
      <c r="AE104" s="106">
        <v>138.30000000000001</v>
      </c>
      <c r="AF104" s="106">
        <v>136.6</v>
      </c>
      <c r="AG104" s="107"/>
      <c r="AH104" s="47">
        <f t="shared" si="24"/>
        <v>138.30000000000001</v>
      </c>
      <c r="AI104" s="48">
        <f t="shared" si="25"/>
        <v>132</v>
      </c>
    </row>
    <row r="105" spans="1:37" x14ac:dyDescent="0.25">
      <c r="A105" s="103" t="s">
        <v>109</v>
      </c>
      <c r="B105" s="65">
        <v>135.4</v>
      </c>
      <c r="C105" s="65">
        <v>137.9</v>
      </c>
      <c r="D105" s="65">
        <v>137.9</v>
      </c>
      <c r="E105" s="65">
        <v>128</v>
      </c>
      <c r="F105" s="65">
        <v>126.5</v>
      </c>
      <c r="G105" s="65">
        <v>126.5</v>
      </c>
      <c r="H105" s="65">
        <v>138</v>
      </c>
      <c r="I105" s="65">
        <v>132</v>
      </c>
      <c r="J105" s="65">
        <v>137</v>
      </c>
      <c r="K105" s="65">
        <v>137</v>
      </c>
      <c r="L105" s="65">
        <v>127</v>
      </c>
      <c r="M105" s="65">
        <v>132</v>
      </c>
      <c r="N105" s="65">
        <v>132</v>
      </c>
      <c r="O105" s="65">
        <v>130.5</v>
      </c>
      <c r="P105" s="65">
        <v>130.5</v>
      </c>
      <c r="Q105" s="65">
        <v>128.6</v>
      </c>
      <c r="R105" s="65">
        <v>131.30000000000001</v>
      </c>
      <c r="S105" s="65">
        <v>132.5</v>
      </c>
      <c r="T105" s="65">
        <v>128</v>
      </c>
      <c r="U105" s="65">
        <v>133</v>
      </c>
      <c r="V105" s="65">
        <v>134.30000000000001</v>
      </c>
      <c r="W105" s="65">
        <v>130.9</v>
      </c>
      <c r="X105" s="65">
        <v>135</v>
      </c>
      <c r="Y105" s="65">
        <v>135</v>
      </c>
      <c r="Z105" s="65">
        <v>129.30000000000001</v>
      </c>
      <c r="AA105" s="65">
        <v>134.1</v>
      </c>
      <c r="AB105" s="65">
        <v>129</v>
      </c>
      <c r="AC105" s="65">
        <v>131.6</v>
      </c>
      <c r="AD105" s="65">
        <v>131.1</v>
      </c>
      <c r="AE105" s="65">
        <v>132.6</v>
      </c>
      <c r="AF105" s="65">
        <v>133.80000000000001</v>
      </c>
      <c r="AG105" s="104"/>
      <c r="AH105" s="47">
        <f t="shared" si="24"/>
        <v>138</v>
      </c>
      <c r="AI105" s="48">
        <f t="shared" si="25"/>
        <v>126.5</v>
      </c>
    </row>
    <row r="106" spans="1:37" ht="15.75" thickBot="1" x14ac:dyDescent="0.3">
      <c r="A106" s="103" t="s">
        <v>110</v>
      </c>
      <c r="B106" s="92">
        <v>67.2</v>
      </c>
      <c r="C106" s="92">
        <v>68.5</v>
      </c>
      <c r="D106" s="92">
        <v>68.5</v>
      </c>
      <c r="E106" s="92">
        <v>68</v>
      </c>
      <c r="F106" s="92">
        <v>68</v>
      </c>
      <c r="G106" s="92">
        <v>68</v>
      </c>
      <c r="H106" s="92">
        <v>66.900000000000006</v>
      </c>
      <c r="I106" s="92">
        <v>66.3</v>
      </c>
      <c r="J106" s="92">
        <v>66</v>
      </c>
      <c r="K106" s="92">
        <v>66</v>
      </c>
      <c r="L106" s="92">
        <v>64</v>
      </c>
      <c r="M106" s="92">
        <v>64.7</v>
      </c>
      <c r="N106" s="92">
        <v>64.7</v>
      </c>
      <c r="O106" s="92">
        <v>64.5</v>
      </c>
      <c r="P106" s="92">
        <v>64.5</v>
      </c>
      <c r="Q106" s="92">
        <v>64.8</v>
      </c>
      <c r="R106" s="92">
        <v>63.9</v>
      </c>
      <c r="S106" s="92">
        <v>63.9</v>
      </c>
      <c r="T106" s="92">
        <v>64</v>
      </c>
      <c r="U106" s="92">
        <v>64.2</v>
      </c>
      <c r="V106" s="92">
        <v>64.8</v>
      </c>
      <c r="W106" s="92">
        <v>65</v>
      </c>
      <c r="X106" s="92">
        <v>64.599999999999994</v>
      </c>
      <c r="Y106" s="92">
        <v>65.400000000000006</v>
      </c>
      <c r="Z106" s="92">
        <v>65.7</v>
      </c>
      <c r="AA106" s="92">
        <v>65.7</v>
      </c>
      <c r="AB106" s="92">
        <v>66.5</v>
      </c>
      <c r="AC106" s="92">
        <v>66.2</v>
      </c>
      <c r="AD106" s="92">
        <v>66.5</v>
      </c>
      <c r="AE106" s="92">
        <v>67.900000000000006</v>
      </c>
      <c r="AF106" s="92">
        <v>67.400000000000006</v>
      </c>
      <c r="AG106" s="108"/>
      <c r="AH106" s="47">
        <f t="shared" si="24"/>
        <v>68.5</v>
      </c>
      <c r="AI106" s="48">
        <f t="shared" si="25"/>
        <v>63.9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24"/>
        <v>0</v>
      </c>
      <c r="AI107" s="48">
        <f t="shared" si="25"/>
        <v>0</v>
      </c>
    </row>
    <row r="108" spans="1:37" ht="15.75" thickBot="1" x14ac:dyDescent="0.3">
      <c r="A108" s="110" t="s">
        <v>112</v>
      </c>
      <c r="B108" s="111">
        <f t="shared" ref="B108" si="51">SUM(B18,B24,B27:B28,B56,B58:B59,B61,B63,B109:B113,B135,B141,B147,B156,B158,B170,B177,B180:B181,B188,B190,B192,B196:B198,B200:B202,B207,B213:B214,B216:B218,B226,B231)</f>
        <v>120.69999999999997</v>
      </c>
      <c r="C108" s="111">
        <f t="shared" ref="C108:AF108" si="52">SUM(C18,C24,C27:C28,C56,C58:C59,C61,C63,C109:C113,C135,C141,C147,C156,C158,C170,C177,C180:C181,C188,C190,C192,C196:C198,C200:C202,C207,C213:C214,C216:C218,C226,C231)</f>
        <v>115.43999999999998</v>
      </c>
      <c r="D108" s="111">
        <f t="shared" si="52"/>
        <v>93.739999999999981</v>
      </c>
      <c r="E108" s="111">
        <f t="shared" si="52"/>
        <v>111.53999999999996</v>
      </c>
      <c r="F108" s="111">
        <f t="shared" si="52"/>
        <v>115.93999999999997</v>
      </c>
      <c r="G108" s="111">
        <f t="shared" si="52"/>
        <v>136.33999999999997</v>
      </c>
      <c r="H108" s="111">
        <f t="shared" si="52"/>
        <v>178.33999999999997</v>
      </c>
      <c r="I108" s="111">
        <f t="shared" si="52"/>
        <v>213.53999999999996</v>
      </c>
      <c r="J108" s="111">
        <f t="shared" si="52"/>
        <v>256.64</v>
      </c>
      <c r="K108" s="111">
        <f t="shared" si="52"/>
        <v>493.04</v>
      </c>
      <c r="L108" s="111">
        <f t="shared" si="52"/>
        <v>325.73999999999995</v>
      </c>
      <c r="M108" s="111">
        <f t="shared" si="52"/>
        <v>330.44</v>
      </c>
      <c r="N108" s="111">
        <f t="shared" ref="N108" si="53">SUM(N18,N24,N27:N28,N56,N58:N59,N61,N63,N109:N113,N135,N141,N147,N156,N158,N170,N177,N180:N181,N188,N190,N192,N196:N198,N200:N202,N207,N213:N214,N216:N218,N226,N231)</f>
        <v>337.31</v>
      </c>
      <c r="O108" s="111">
        <f t="shared" si="52"/>
        <v>294.21999999999997</v>
      </c>
      <c r="P108" s="111">
        <f t="shared" ref="P108:Q108" si="54">SUM(P18,P24,P27:P28,P56,P58:P59,P61,P63,P109:P113,P135,P141,P147,P156,P158,P170,P177,P180:P181,P188,P190,P192,P196:P198,P200:P202,P207,P213:P214,P216:P218,P226,P231)</f>
        <v>294.21999999999997</v>
      </c>
      <c r="Q108" s="111">
        <f t="shared" si="54"/>
        <v>260.38</v>
      </c>
      <c r="R108" s="111">
        <f t="shared" ref="R108" si="55">SUM(R18,R24,R27:R28,R56,R58:R59,R61,R63,R109:R113,R135,R141,R147,R156,R158,R170,R177,R180:R181,R188,R190,R192,R196:R198,R200:R202,R207,R213:R214,R216:R218,R226,R231)</f>
        <v>244.98</v>
      </c>
      <c r="S108" s="111">
        <f t="shared" si="52"/>
        <v>256.18</v>
      </c>
      <c r="T108" s="111">
        <f t="shared" si="52"/>
        <v>267.08</v>
      </c>
      <c r="U108" s="111">
        <f t="shared" si="52"/>
        <v>251.68</v>
      </c>
      <c r="V108" s="111">
        <f t="shared" si="52"/>
        <v>266.27999999999997</v>
      </c>
      <c r="W108" s="111">
        <f t="shared" si="52"/>
        <v>254.5</v>
      </c>
      <c r="X108" s="111">
        <f t="shared" si="52"/>
        <v>278.89999999999998</v>
      </c>
      <c r="Y108" s="111">
        <f t="shared" si="52"/>
        <v>348.4</v>
      </c>
      <c r="Z108" s="111">
        <f t="shared" si="52"/>
        <v>358.6</v>
      </c>
      <c r="AA108" s="111">
        <f t="shared" si="52"/>
        <v>337.1</v>
      </c>
      <c r="AB108" s="111">
        <f t="shared" si="52"/>
        <v>288.79999999999995</v>
      </c>
      <c r="AC108" s="111">
        <f t="shared" si="52"/>
        <v>275.5</v>
      </c>
      <c r="AD108" s="111">
        <f t="shared" si="52"/>
        <v>253.89999999999998</v>
      </c>
      <c r="AE108" s="111">
        <f t="shared" si="52"/>
        <v>188.7</v>
      </c>
      <c r="AF108" s="111">
        <f t="shared" si="52"/>
        <v>135.29999999999998</v>
      </c>
      <c r="AG108" s="112"/>
      <c r="AH108" s="47">
        <f t="shared" si="24"/>
        <v>493.04</v>
      </c>
      <c r="AI108" s="48">
        <f t="shared" si="25"/>
        <v>93.739999999999981</v>
      </c>
    </row>
    <row r="109" spans="1:37" x14ac:dyDescent="0.25">
      <c r="A109" s="100" t="s">
        <v>113</v>
      </c>
      <c r="B109" s="113">
        <v>-3.7</v>
      </c>
      <c r="C109" s="113">
        <v>-5.9</v>
      </c>
      <c r="D109" s="113">
        <v>-4</v>
      </c>
      <c r="E109" s="113">
        <v>-3.8</v>
      </c>
      <c r="F109" s="113">
        <v>-5.0999999999999996</v>
      </c>
      <c r="G109" s="113">
        <v>-16.3</v>
      </c>
      <c r="H109" s="113">
        <v>-4.5</v>
      </c>
      <c r="I109" s="113">
        <f>-1.2</f>
        <v>-1.2</v>
      </c>
      <c r="J109" s="113">
        <v>8.1999999999999993</v>
      </c>
      <c r="K109" s="113">
        <v>12</v>
      </c>
      <c r="L109" s="113">
        <v>19.399999999999999</v>
      </c>
      <c r="M109" s="113">
        <v>19.5</v>
      </c>
      <c r="N109" s="113">
        <v>19.5</v>
      </c>
      <c r="O109" s="113">
        <v>11.8</v>
      </c>
      <c r="P109" s="113">
        <v>11.8</v>
      </c>
      <c r="Q109" s="113">
        <v>-4.2</v>
      </c>
      <c r="R109" s="113">
        <v>-13.9</v>
      </c>
      <c r="S109" s="113">
        <v>-9</v>
      </c>
      <c r="T109" s="113">
        <v>-5.8</v>
      </c>
      <c r="U109" s="113">
        <v>1.3</v>
      </c>
      <c r="V109" s="113">
        <v>0</v>
      </c>
      <c r="W109" s="113">
        <v>0</v>
      </c>
      <c r="X109" s="113">
        <v>4.5999999999999996</v>
      </c>
      <c r="Y109" s="113">
        <v>14.3</v>
      </c>
      <c r="Z109" s="113">
        <v>15.1</v>
      </c>
      <c r="AA109" s="113">
        <v>23</v>
      </c>
      <c r="AB109" s="113">
        <v>15.6</v>
      </c>
      <c r="AC109" s="113">
        <v>14.8</v>
      </c>
      <c r="AD109" s="113">
        <v>8.1</v>
      </c>
      <c r="AE109" s="113">
        <v>16</v>
      </c>
      <c r="AF109" s="113">
        <v>9.9</v>
      </c>
      <c r="AG109" s="114">
        <v>75</v>
      </c>
      <c r="AH109" s="47">
        <f t="shared" si="24"/>
        <v>23</v>
      </c>
      <c r="AI109" s="48">
        <f t="shared" si="25"/>
        <v>-16.3</v>
      </c>
    </row>
    <row r="110" spans="1:37" x14ac:dyDescent="0.25">
      <c r="A110" s="103" t="s">
        <v>114</v>
      </c>
      <c r="B110" s="115">
        <v>-6.7</v>
      </c>
      <c r="C110" s="115">
        <v>-9.6</v>
      </c>
      <c r="D110" s="115">
        <v>-6.8</v>
      </c>
      <c r="E110" s="115">
        <v>-6.9</v>
      </c>
      <c r="F110" s="115">
        <v>-8.9</v>
      </c>
      <c r="G110" s="115">
        <v>-24.6</v>
      </c>
      <c r="H110" s="115">
        <v>-11</v>
      </c>
      <c r="I110" s="115">
        <v>-6.8</v>
      </c>
      <c r="J110" s="115">
        <v>4.3</v>
      </c>
      <c r="K110" s="115">
        <v>10</v>
      </c>
      <c r="L110" s="115">
        <v>17.5</v>
      </c>
      <c r="M110" s="115">
        <v>17.600000000000001</v>
      </c>
      <c r="N110" s="115">
        <v>17.600000000000001</v>
      </c>
      <c r="O110" s="115">
        <v>9.1</v>
      </c>
      <c r="P110" s="115">
        <v>9.1</v>
      </c>
      <c r="Q110" s="115">
        <v>-9.6999999999999993</v>
      </c>
      <c r="R110" s="115">
        <v>-19.7</v>
      </c>
      <c r="S110" s="115">
        <v>-15.6</v>
      </c>
      <c r="T110" s="115">
        <v>-12</v>
      </c>
      <c r="U110" s="115">
        <v>-1.2</v>
      </c>
      <c r="V110" s="115">
        <v>-7.3</v>
      </c>
      <c r="W110" s="115">
        <v>-6.6</v>
      </c>
      <c r="X110" s="115">
        <v>-0.8</v>
      </c>
      <c r="Y110" s="115">
        <v>10</v>
      </c>
      <c r="Z110" s="115">
        <v>10.4</v>
      </c>
      <c r="AA110" s="115">
        <v>22</v>
      </c>
      <c r="AB110" s="115">
        <v>13.6</v>
      </c>
      <c r="AC110" s="115">
        <v>12.3</v>
      </c>
      <c r="AD110" s="115">
        <v>4.4000000000000004</v>
      </c>
      <c r="AE110" s="115">
        <v>17.5</v>
      </c>
      <c r="AF110" s="115">
        <v>14.9</v>
      </c>
      <c r="AG110" s="114">
        <v>240</v>
      </c>
      <c r="AH110" s="47">
        <f t="shared" si="24"/>
        <v>22</v>
      </c>
      <c r="AI110" s="48">
        <f t="shared" si="25"/>
        <v>-24.6</v>
      </c>
    </row>
    <row r="111" spans="1:37" x14ac:dyDescent="0.25">
      <c r="A111" s="103" t="s">
        <v>115</v>
      </c>
      <c r="B111" s="115">
        <v>-15.1</v>
      </c>
      <c r="C111" s="115">
        <v>-10.5</v>
      </c>
      <c r="D111" s="115">
        <v>-13.3</v>
      </c>
      <c r="E111" s="115">
        <v>-18</v>
      </c>
      <c r="F111" s="115">
        <v>-14.7</v>
      </c>
      <c r="G111" s="115">
        <v>4.2</v>
      </c>
      <c r="H111" s="115">
        <v>11</v>
      </c>
      <c r="I111" s="115">
        <v>22</v>
      </c>
      <c r="J111" s="115">
        <v>37</v>
      </c>
      <c r="K111" s="115">
        <v>45</v>
      </c>
      <c r="L111" s="115">
        <v>54</v>
      </c>
      <c r="M111" s="115">
        <f>27.3+28.9</f>
        <v>56.2</v>
      </c>
      <c r="N111" s="115">
        <f>27.3+28.9</f>
        <v>56.2</v>
      </c>
      <c r="O111" s="115">
        <f>20.5+22.6</f>
        <v>43.1</v>
      </c>
      <c r="P111" s="115">
        <f t="shared" ref="P111" si="56">20.5+22.6</f>
        <v>43.1</v>
      </c>
      <c r="Q111" s="115">
        <f>19.4+20.8</f>
        <v>40.200000000000003</v>
      </c>
      <c r="R111" s="115">
        <f>21.5+23.1</f>
        <v>44.6</v>
      </c>
      <c r="S111" s="115">
        <v>39</v>
      </c>
      <c r="T111" s="115">
        <v>43</v>
      </c>
      <c r="U111" s="115">
        <v>45</v>
      </c>
      <c r="V111" s="115">
        <v>46</v>
      </c>
      <c r="W111" s="115">
        <v>47</v>
      </c>
      <c r="X111" s="115">
        <v>54</v>
      </c>
      <c r="Y111" s="115">
        <v>79</v>
      </c>
      <c r="Z111" s="115">
        <v>82</v>
      </c>
      <c r="AA111" s="115">
        <v>71</v>
      </c>
      <c r="AB111" s="115">
        <v>53.8</v>
      </c>
      <c r="AC111" s="115">
        <v>50</v>
      </c>
      <c r="AD111" s="115">
        <v>53</v>
      </c>
      <c r="AE111" s="115">
        <v>13</v>
      </c>
      <c r="AF111" s="115">
        <v>0</v>
      </c>
      <c r="AG111" s="114">
        <v>240</v>
      </c>
      <c r="AH111" s="47">
        <f t="shared" si="24"/>
        <v>82</v>
      </c>
      <c r="AI111" s="48">
        <f t="shared" si="25"/>
        <v>-18</v>
      </c>
    </row>
    <row r="112" spans="1:37" x14ac:dyDescent="0.25">
      <c r="A112" s="103" t="s">
        <v>116</v>
      </c>
      <c r="B112" s="115">
        <v>7.8</v>
      </c>
      <c r="C112" s="115">
        <v>8.4</v>
      </c>
      <c r="D112" s="115">
        <v>-13.5</v>
      </c>
      <c r="E112" s="115">
        <v>7</v>
      </c>
      <c r="F112" s="115">
        <v>8.3000000000000007</v>
      </c>
      <c r="G112" s="115">
        <v>10.199999999999999</v>
      </c>
      <c r="H112" s="115">
        <v>12</v>
      </c>
      <c r="I112" s="115">
        <v>15.4</v>
      </c>
      <c r="J112" s="115">
        <v>19.600000000000001</v>
      </c>
      <c r="K112" s="115">
        <v>222</v>
      </c>
      <c r="L112" s="115">
        <v>24.2</v>
      </c>
      <c r="M112" s="115">
        <v>24.2</v>
      </c>
      <c r="N112" s="115">
        <v>24.2</v>
      </c>
      <c r="O112" s="115">
        <v>23.3</v>
      </c>
      <c r="P112" s="115">
        <v>23.3</v>
      </c>
      <c r="Q112" s="115">
        <v>20.6</v>
      </c>
      <c r="R112" s="115">
        <v>17.8</v>
      </c>
      <c r="S112" s="115">
        <v>17</v>
      </c>
      <c r="T112" s="115">
        <v>16</v>
      </c>
      <c r="U112" s="115">
        <v>18</v>
      </c>
      <c r="V112" s="115">
        <v>21</v>
      </c>
      <c r="W112" s="115">
        <v>19</v>
      </c>
      <c r="X112" s="115">
        <v>20</v>
      </c>
      <c r="Y112" s="115">
        <v>42</v>
      </c>
      <c r="Z112" s="115">
        <v>44</v>
      </c>
      <c r="AA112" s="115">
        <v>26</v>
      </c>
      <c r="AB112" s="115">
        <v>19.8</v>
      </c>
      <c r="AC112" s="115">
        <v>18.8</v>
      </c>
      <c r="AD112" s="115">
        <v>18</v>
      </c>
      <c r="AE112" s="115">
        <v>9.1</v>
      </c>
      <c r="AF112" s="115">
        <v>4.0999999999999996</v>
      </c>
      <c r="AG112" s="114">
        <v>60</v>
      </c>
      <c r="AH112" s="47">
        <f t="shared" si="24"/>
        <v>222</v>
      </c>
      <c r="AI112" s="48">
        <f t="shared" si="25"/>
        <v>-13.5</v>
      </c>
    </row>
    <row r="113" spans="1:37" x14ac:dyDescent="0.25">
      <c r="A113" s="116" t="s">
        <v>117</v>
      </c>
      <c r="B113" s="117">
        <v>44.5</v>
      </c>
      <c r="C113" s="117">
        <v>38.200000000000003</v>
      </c>
      <c r="D113" s="117">
        <v>36.5</v>
      </c>
      <c r="E113" s="117">
        <v>38.4</v>
      </c>
      <c r="F113" s="117">
        <v>41.5</v>
      </c>
      <c r="G113" s="117">
        <v>68</v>
      </c>
      <c r="H113" s="117">
        <v>76</v>
      </c>
      <c r="I113" s="117">
        <v>89.8</v>
      </c>
      <c r="J113" s="117">
        <v>93.5</v>
      </c>
      <c r="K113" s="117">
        <v>110</v>
      </c>
      <c r="L113" s="117">
        <v>116.6</v>
      </c>
      <c r="M113" s="117">
        <v>116.9</v>
      </c>
      <c r="N113" s="117">
        <v>116.9</v>
      </c>
      <c r="O113" s="117">
        <v>98.8</v>
      </c>
      <c r="P113" s="117">
        <v>98.8</v>
      </c>
      <c r="Q113" s="191">
        <v>106.3</v>
      </c>
      <c r="R113" s="191">
        <v>109</v>
      </c>
      <c r="S113" s="117">
        <v>116.9</v>
      </c>
      <c r="T113" s="117">
        <v>118</v>
      </c>
      <c r="U113" s="117">
        <v>113</v>
      </c>
      <c r="V113" s="117">
        <v>110</v>
      </c>
      <c r="W113" s="117">
        <v>112</v>
      </c>
      <c r="X113" s="117">
        <v>118</v>
      </c>
      <c r="Y113" s="117">
        <v>108</v>
      </c>
      <c r="Z113" s="117">
        <v>112</v>
      </c>
      <c r="AA113" s="117">
        <v>100</v>
      </c>
      <c r="AB113" s="117">
        <v>92.6</v>
      </c>
      <c r="AC113" s="117">
        <v>86.2</v>
      </c>
      <c r="AD113" s="117">
        <v>77</v>
      </c>
      <c r="AE113" s="117">
        <v>39.4</v>
      </c>
      <c r="AF113" s="117">
        <v>12.7</v>
      </c>
      <c r="AG113" s="118">
        <v>120</v>
      </c>
      <c r="AH113" s="47">
        <f t="shared" si="24"/>
        <v>118</v>
      </c>
      <c r="AI113" s="48">
        <f t="shared" si="25"/>
        <v>12.7</v>
      </c>
    </row>
    <row r="114" spans="1:37" x14ac:dyDescent="0.25">
      <c r="A114" s="116" t="s">
        <v>118</v>
      </c>
      <c r="B114" s="117">
        <v>42.9</v>
      </c>
      <c r="C114" s="117">
        <v>31.5</v>
      </c>
      <c r="D114" s="117">
        <v>29.6</v>
      </c>
      <c r="E114" s="117">
        <v>37.5</v>
      </c>
      <c r="F114" s="117">
        <v>39.299999999999997</v>
      </c>
      <c r="G114" s="117">
        <v>64</v>
      </c>
      <c r="H114" s="117">
        <v>67</v>
      </c>
      <c r="I114" s="117">
        <v>74.900000000000006</v>
      </c>
      <c r="J114" s="117">
        <v>66.900000000000006</v>
      </c>
      <c r="K114" s="117">
        <v>70</v>
      </c>
      <c r="L114" s="117">
        <v>78.7</v>
      </c>
      <c r="M114" s="117">
        <v>81.099999999999994</v>
      </c>
      <c r="N114" s="117">
        <v>81.099999999999994</v>
      </c>
      <c r="O114" s="117">
        <v>74.099999999999994</v>
      </c>
      <c r="P114" s="117">
        <v>74.099999999999994</v>
      </c>
      <c r="Q114" s="117">
        <v>81.8</v>
      </c>
      <c r="R114" s="117">
        <v>91.3</v>
      </c>
      <c r="S114" s="117">
        <v>89</v>
      </c>
      <c r="T114" s="117">
        <v>89</v>
      </c>
      <c r="U114" s="117">
        <v>86</v>
      </c>
      <c r="V114" s="117">
        <v>84</v>
      </c>
      <c r="W114" s="117">
        <v>83</v>
      </c>
      <c r="X114" s="117">
        <v>86</v>
      </c>
      <c r="Y114" s="117">
        <v>95</v>
      </c>
      <c r="Z114" s="117">
        <v>92</v>
      </c>
      <c r="AA114" s="117">
        <v>88</v>
      </c>
      <c r="AB114" s="117">
        <v>80.599999999999994</v>
      </c>
      <c r="AC114" s="117">
        <v>85.7</v>
      </c>
      <c r="AD114" s="117">
        <v>93</v>
      </c>
      <c r="AE114" s="117">
        <v>55.4</v>
      </c>
      <c r="AF114" s="117">
        <v>43.1</v>
      </c>
      <c r="AG114" s="118"/>
      <c r="AH114" s="47">
        <f t="shared" si="24"/>
        <v>95</v>
      </c>
      <c r="AI114" s="48">
        <f t="shared" si="25"/>
        <v>29.6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/>
      <c r="G115" s="117">
        <v>42</v>
      </c>
      <c r="H115" s="117">
        <v>20</v>
      </c>
      <c r="I115" s="117"/>
      <c r="J115" s="117">
        <v>22.4</v>
      </c>
      <c r="K115" s="117"/>
      <c r="L115" s="117"/>
      <c r="M115" s="117"/>
      <c r="N115" s="117"/>
      <c r="O115" s="117">
        <v>27.1</v>
      </c>
      <c r="P115" s="117">
        <v>27.1</v>
      </c>
      <c r="Q115" s="117">
        <v>43.5</v>
      </c>
      <c r="R115" s="117"/>
      <c r="S115" s="117"/>
      <c r="T115" s="117"/>
      <c r="U115" s="117"/>
      <c r="V115" s="117"/>
      <c r="W115" s="117"/>
      <c r="X115" s="117">
        <v>27</v>
      </c>
      <c r="Y115" s="117">
        <v>21</v>
      </c>
      <c r="Z115" s="117">
        <v>19</v>
      </c>
      <c r="AA115" s="117"/>
      <c r="AB115" s="117">
        <v>15.5</v>
      </c>
      <c r="AC115" s="117">
        <v>22.3</v>
      </c>
      <c r="AD115" s="117">
        <v>25.3</v>
      </c>
      <c r="AE115" s="117">
        <v>23.1</v>
      </c>
      <c r="AF115" s="117"/>
      <c r="AG115" s="119"/>
      <c r="AH115" s="47">
        <f t="shared" si="24"/>
        <v>43.5</v>
      </c>
      <c r="AI115" s="48">
        <f t="shared" si="25"/>
        <v>15.5</v>
      </c>
    </row>
    <row r="116" spans="1:37" x14ac:dyDescent="0.25">
      <c r="A116" s="120" t="s">
        <v>120</v>
      </c>
      <c r="B116" s="106">
        <v>7.8</v>
      </c>
      <c r="C116" s="106">
        <v>10.1</v>
      </c>
      <c r="D116" s="106">
        <v>9</v>
      </c>
      <c r="E116" s="106">
        <v>11.3</v>
      </c>
      <c r="F116" s="106">
        <v>6.7</v>
      </c>
      <c r="G116" s="106">
        <v>2.85</v>
      </c>
      <c r="H116" s="106">
        <v>-10</v>
      </c>
      <c r="I116" s="106">
        <v>-21.5</v>
      </c>
      <c r="J116" s="106">
        <v>-37.5</v>
      </c>
      <c r="K116" s="106">
        <v>-42</v>
      </c>
      <c r="L116" s="106">
        <v>-52.7</v>
      </c>
      <c r="M116" s="106">
        <v>-58.1</v>
      </c>
      <c r="N116" s="106">
        <v>-58.1</v>
      </c>
      <c r="O116" s="106">
        <v>-43.2</v>
      </c>
      <c r="P116" s="106">
        <v>-43.2</v>
      </c>
      <c r="Q116" s="106">
        <v>-31</v>
      </c>
      <c r="R116" s="106">
        <v>-40.5</v>
      </c>
      <c r="S116" s="106">
        <v>-42</v>
      </c>
      <c r="T116" s="106">
        <v>-35</v>
      </c>
      <c r="U116" s="106">
        <v>-22</v>
      </c>
      <c r="V116" s="106">
        <v>-48</v>
      </c>
      <c r="W116" s="106">
        <v>-49</v>
      </c>
      <c r="X116" s="106">
        <v>-55</v>
      </c>
      <c r="Y116" s="106">
        <v>-85</v>
      </c>
      <c r="Z116" s="106">
        <v>-65</v>
      </c>
      <c r="AA116" s="106">
        <v>-64</v>
      </c>
      <c r="AB116" s="106">
        <v>-40.1</v>
      </c>
      <c r="AC116" s="106">
        <v>-37.9</v>
      </c>
      <c r="AD116" s="106">
        <v>-32.1</v>
      </c>
      <c r="AE116" s="106">
        <v>-15</v>
      </c>
      <c r="AF116" s="106">
        <v>-9.1999999999999993</v>
      </c>
      <c r="AG116" s="119"/>
      <c r="AH116" s="47">
        <f t="shared" si="24"/>
        <v>11.3</v>
      </c>
      <c r="AI116" s="48">
        <f t="shared" si="25"/>
        <v>-85</v>
      </c>
    </row>
    <row r="117" spans="1:37" ht="15.75" thickBot="1" x14ac:dyDescent="0.3">
      <c r="A117" s="120" t="s">
        <v>121</v>
      </c>
      <c r="B117" s="106">
        <v>35.200000000000003</v>
      </c>
      <c r="C117" s="106">
        <v>35.700000000000003</v>
      </c>
      <c r="D117" s="106">
        <v>36.700000000000003</v>
      </c>
      <c r="E117" s="106">
        <v>31.6</v>
      </c>
      <c r="F117" s="106">
        <v>42.4</v>
      </c>
      <c r="G117" s="106">
        <v>39.5</v>
      </c>
      <c r="H117" s="106">
        <v>43</v>
      </c>
      <c r="I117" s="106">
        <v>45.3</v>
      </c>
      <c r="J117" s="106">
        <v>55.2</v>
      </c>
      <c r="K117" s="106">
        <v>60</v>
      </c>
      <c r="L117" s="106">
        <v>64.099999999999994</v>
      </c>
      <c r="M117" s="106">
        <v>69.5</v>
      </c>
      <c r="N117" s="106">
        <v>69.5</v>
      </c>
      <c r="O117" s="106">
        <v>90.1</v>
      </c>
      <c r="P117" s="106">
        <v>90.1</v>
      </c>
      <c r="Q117" s="106">
        <v>82.1</v>
      </c>
      <c r="R117" s="106">
        <v>87.1</v>
      </c>
      <c r="S117" s="106">
        <v>80</v>
      </c>
      <c r="T117" s="106">
        <v>80</v>
      </c>
      <c r="U117" s="106">
        <v>72</v>
      </c>
      <c r="V117" s="106">
        <v>74</v>
      </c>
      <c r="W117" s="106">
        <v>73</v>
      </c>
      <c r="X117" s="106">
        <v>73</v>
      </c>
      <c r="Y117" s="106">
        <v>101</v>
      </c>
      <c r="Z117" s="106">
        <v>96</v>
      </c>
      <c r="AA117" s="106">
        <v>95</v>
      </c>
      <c r="AB117" s="106">
        <v>96.6</v>
      </c>
      <c r="AC117" s="106">
        <v>96.3</v>
      </c>
      <c r="AD117" s="106">
        <v>86.9</v>
      </c>
      <c r="AE117" s="106">
        <v>83.4</v>
      </c>
      <c r="AF117" s="106">
        <v>82.5</v>
      </c>
      <c r="AG117" s="119"/>
      <c r="AH117" s="47">
        <f t="shared" si="24"/>
        <v>101</v>
      </c>
      <c r="AI117" s="48">
        <f t="shared" si="25"/>
        <v>31.6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57">SUM(B119:B223)</f>
        <v>0</v>
      </c>
      <c r="C224" s="136">
        <f t="shared" si="57"/>
        <v>0</v>
      </c>
      <c r="D224" s="136">
        <f t="shared" si="57"/>
        <v>0</v>
      </c>
      <c r="E224" s="136">
        <f t="shared" si="57"/>
        <v>0</v>
      </c>
      <c r="F224" s="136">
        <f t="shared" si="57"/>
        <v>0</v>
      </c>
      <c r="G224" s="136">
        <f t="shared" si="57"/>
        <v>0</v>
      </c>
      <c r="H224" s="136">
        <f t="shared" si="57"/>
        <v>0</v>
      </c>
      <c r="I224" s="136">
        <f t="shared" si="57"/>
        <v>0</v>
      </c>
      <c r="J224" s="136">
        <f t="shared" si="57"/>
        <v>0</v>
      </c>
      <c r="K224" s="136">
        <f t="shared" si="57"/>
        <v>0</v>
      </c>
      <c r="L224" s="136">
        <f t="shared" si="57"/>
        <v>0</v>
      </c>
      <c r="M224" s="136">
        <f t="shared" si="57"/>
        <v>0</v>
      </c>
      <c r="N224" s="136">
        <f t="shared" si="57"/>
        <v>0</v>
      </c>
      <c r="O224" s="136">
        <f t="shared" si="57"/>
        <v>0</v>
      </c>
      <c r="P224" s="136">
        <f t="shared" si="57"/>
        <v>0</v>
      </c>
      <c r="Q224" s="136">
        <f t="shared" si="57"/>
        <v>0</v>
      </c>
      <c r="R224" s="136">
        <f t="shared" si="57"/>
        <v>0</v>
      </c>
      <c r="S224" s="136">
        <f t="shared" si="57"/>
        <v>0</v>
      </c>
      <c r="T224" s="136">
        <f t="shared" si="57"/>
        <v>0</v>
      </c>
      <c r="U224" s="136">
        <f t="shared" si="57"/>
        <v>0</v>
      </c>
      <c r="V224" s="136">
        <f t="shared" si="57"/>
        <v>0</v>
      </c>
      <c r="W224" s="136">
        <f t="shared" si="57"/>
        <v>0</v>
      </c>
      <c r="X224" s="136">
        <f t="shared" si="57"/>
        <v>0</v>
      </c>
      <c r="Y224" s="136">
        <f t="shared" si="57"/>
        <v>0</v>
      </c>
      <c r="Z224" s="136">
        <f t="shared" si="57"/>
        <v>0</v>
      </c>
      <c r="AA224" s="136">
        <f t="shared" si="57"/>
        <v>0</v>
      </c>
      <c r="AB224" s="136">
        <f t="shared" si="57"/>
        <v>0</v>
      </c>
      <c r="AC224" s="136">
        <f t="shared" si="57"/>
        <v>0</v>
      </c>
      <c r="AD224" s="136">
        <f t="shared" si="57"/>
        <v>0</v>
      </c>
      <c r="AE224" s="136">
        <f t="shared" si="57"/>
        <v>0</v>
      </c>
      <c r="AF224" s="137">
        <f t="shared" si="57"/>
        <v>0</v>
      </c>
      <c r="AG224" s="138">
        <f t="shared" si="5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58">AF226</f>
        <v>0</v>
      </c>
      <c r="C226" s="140">
        <v>0.3</v>
      </c>
      <c r="D226" s="140">
        <f t="shared" ref="D226:P231" si="59">C226</f>
        <v>0.3</v>
      </c>
      <c r="E226" s="140">
        <f t="shared" si="59"/>
        <v>0.3</v>
      </c>
      <c r="F226" s="140">
        <f t="shared" si="59"/>
        <v>0.3</v>
      </c>
      <c r="G226" s="140">
        <f t="shared" si="59"/>
        <v>0.3</v>
      </c>
      <c r="H226" s="140">
        <f t="shared" si="59"/>
        <v>0.3</v>
      </c>
      <c r="I226" s="140">
        <f t="shared" si="59"/>
        <v>0.3</v>
      </c>
      <c r="J226" s="140">
        <f t="shared" si="59"/>
        <v>0.3</v>
      </c>
      <c r="K226" s="140">
        <f t="shared" si="59"/>
        <v>0.3</v>
      </c>
      <c r="L226" s="140">
        <f t="shared" si="59"/>
        <v>0.3</v>
      </c>
      <c r="M226" s="140">
        <f t="shared" si="59"/>
        <v>0.3</v>
      </c>
      <c r="N226" s="140">
        <f t="shared" si="59"/>
        <v>0.3</v>
      </c>
      <c r="O226" s="140">
        <f t="shared" si="59"/>
        <v>0.3</v>
      </c>
      <c r="P226" s="140">
        <f t="shared" si="5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58"/>
        <v>0</v>
      </c>
      <c r="C227" s="128">
        <v>0.4</v>
      </c>
      <c r="D227" s="128">
        <f t="shared" si="59"/>
        <v>0.4</v>
      </c>
      <c r="E227" s="128">
        <f t="shared" si="59"/>
        <v>0.4</v>
      </c>
      <c r="F227" s="128">
        <f t="shared" si="59"/>
        <v>0.4</v>
      </c>
      <c r="G227" s="128">
        <f t="shared" si="59"/>
        <v>0.4</v>
      </c>
      <c r="H227" s="128">
        <f t="shared" si="59"/>
        <v>0.4</v>
      </c>
      <c r="I227" s="128">
        <f t="shared" si="59"/>
        <v>0.4</v>
      </c>
      <c r="J227" s="128">
        <f t="shared" si="59"/>
        <v>0.4</v>
      </c>
      <c r="K227" s="128">
        <f t="shared" si="59"/>
        <v>0.4</v>
      </c>
      <c r="L227" s="128">
        <f t="shared" si="59"/>
        <v>0.4</v>
      </c>
      <c r="M227" s="128">
        <f t="shared" si="59"/>
        <v>0.4</v>
      </c>
      <c r="N227" s="128">
        <f t="shared" si="59"/>
        <v>0.4</v>
      </c>
      <c r="O227" s="128">
        <f t="shared" si="59"/>
        <v>0.4</v>
      </c>
      <c r="P227" s="128">
        <f t="shared" si="5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58"/>
        <v>0</v>
      </c>
      <c r="C228" s="128">
        <v>1.5</v>
      </c>
      <c r="D228" s="128">
        <f t="shared" si="59"/>
        <v>1.5</v>
      </c>
      <c r="E228" s="128">
        <f t="shared" si="59"/>
        <v>1.5</v>
      </c>
      <c r="F228" s="128">
        <f t="shared" si="59"/>
        <v>1.5</v>
      </c>
      <c r="G228" s="128">
        <f t="shared" si="59"/>
        <v>1.5</v>
      </c>
      <c r="H228" s="128">
        <f t="shared" si="5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59"/>
        <v>1.5</v>
      </c>
      <c r="K228" s="128">
        <f t="shared" ca="1" si="59"/>
        <v>1.5</v>
      </c>
      <c r="L228" s="128">
        <f t="shared" ca="1" si="59"/>
        <v>1.5</v>
      </c>
      <c r="M228" s="128">
        <f t="shared" ca="1" si="59"/>
        <v>1.5</v>
      </c>
      <c r="N228" s="128">
        <f t="shared" ca="1" si="59"/>
        <v>1.5</v>
      </c>
      <c r="O228" s="128">
        <f t="shared" ca="1" si="59"/>
        <v>1.5</v>
      </c>
      <c r="P228" s="128">
        <f t="shared" ca="1" si="5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58"/>
        <v>0</v>
      </c>
      <c r="C229" s="128">
        <v>0.3</v>
      </c>
      <c r="D229" s="128">
        <f t="shared" si="59"/>
        <v>0.3</v>
      </c>
      <c r="E229" s="128">
        <f t="shared" si="59"/>
        <v>0.3</v>
      </c>
      <c r="F229" s="128">
        <f t="shared" si="59"/>
        <v>0.3</v>
      </c>
      <c r="G229" s="128">
        <f t="shared" si="59"/>
        <v>0.3</v>
      </c>
      <c r="H229" s="128">
        <f t="shared" si="59"/>
        <v>0.3</v>
      </c>
      <c r="I229" s="128">
        <f t="shared" si="59"/>
        <v>0.3</v>
      </c>
      <c r="J229" s="128">
        <f t="shared" si="59"/>
        <v>0.3</v>
      </c>
      <c r="K229" s="128">
        <f t="shared" si="59"/>
        <v>0.3</v>
      </c>
      <c r="L229" s="128">
        <f t="shared" si="59"/>
        <v>0.3</v>
      </c>
      <c r="M229" s="128">
        <f t="shared" si="59"/>
        <v>0.3</v>
      </c>
      <c r="N229" s="128">
        <f t="shared" si="59"/>
        <v>0.3</v>
      </c>
      <c r="O229" s="128">
        <f t="shared" si="59"/>
        <v>0.3</v>
      </c>
      <c r="P229" s="128">
        <f t="shared" si="5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58"/>
        <v>0</v>
      </c>
      <c r="C230" s="128">
        <v>0.4</v>
      </c>
      <c r="D230" s="128">
        <f t="shared" si="59"/>
        <v>0.4</v>
      </c>
      <c r="E230" s="128">
        <f t="shared" si="59"/>
        <v>0.4</v>
      </c>
      <c r="F230" s="128">
        <f t="shared" si="59"/>
        <v>0.4</v>
      </c>
      <c r="G230" s="128">
        <f t="shared" si="59"/>
        <v>0.4</v>
      </c>
      <c r="H230" s="128">
        <f t="shared" si="59"/>
        <v>0.4</v>
      </c>
      <c r="I230" s="128">
        <f t="shared" si="59"/>
        <v>0.4</v>
      </c>
      <c r="J230" s="128">
        <f t="shared" si="59"/>
        <v>0.4</v>
      </c>
      <c r="K230" s="128">
        <f t="shared" si="59"/>
        <v>0.4</v>
      </c>
      <c r="L230" s="128">
        <f t="shared" si="59"/>
        <v>0.4</v>
      </c>
      <c r="M230" s="128">
        <f t="shared" si="59"/>
        <v>0.4</v>
      </c>
      <c r="N230" s="128">
        <f t="shared" si="59"/>
        <v>0.4</v>
      </c>
      <c r="O230" s="128">
        <f t="shared" si="59"/>
        <v>0.4</v>
      </c>
      <c r="P230" s="128">
        <f t="shared" si="5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58"/>
        <v>0</v>
      </c>
      <c r="C231" s="132">
        <v>0.64</v>
      </c>
      <c r="D231" s="132">
        <f t="shared" si="59"/>
        <v>0.64</v>
      </c>
      <c r="E231" s="132">
        <f t="shared" si="59"/>
        <v>0.64</v>
      </c>
      <c r="F231" s="132">
        <f t="shared" si="59"/>
        <v>0.64</v>
      </c>
      <c r="G231" s="132">
        <f t="shared" si="59"/>
        <v>0.64</v>
      </c>
      <c r="H231" s="132">
        <f t="shared" si="59"/>
        <v>0.64</v>
      </c>
      <c r="I231" s="132">
        <f t="shared" si="59"/>
        <v>0.64</v>
      </c>
      <c r="J231" s="132">
        <f t="shared" si="59"/>
        <v>0.64</v>
      </c>
      <c r="K231" s="132">
        <f t="shared" si="59"/>
        <v>0.64</v>
      </c>
      <c r="L231" s="132">
        <f t="shared" si="59"/>
        <v>0.64</v>
      </c>
      <c r="M231" s="132">
        <f t="shared" si="59"/>
        <v>0.64</v>
      </c>
      <c r="N231" s="132">
        <f t="shared" si="59"/>
        <v>0.64</v>
      </c>
      <c r="O231" s="132">
        <f t="shared" si="59"/>
        <v>0.64</v>
      </c>
      <c r="P231" s="132">
        <f t="shared" si="5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60">SUM(B226:B231)</f>
        <v>0</v>
      </c>
      <c r="C232" s="136">
        <f t="shared" si="60"/>
        <v>3.54</v>
      </c>
      <c r="D232" s="136">
        <f t="shared" si="60"/>
        <v>3.54</v>
      </c>
      <c r="E232" s="136">
        <f t="shared" si="60"/>
        <v>3.54</v>
      </c>
      <c r="F232" s="136">
        <f t="shared" si="60"/>
        <v>3.54</v>
      </c>
      <c r="G232" s="136">
        <f t="shared" si="60"/>
        <v>3.54</v>
      </c>
      <c r="H232" s="136">
        <f t="shared" si="60"/>
        <v>3.54</v>
      </c>
      <c r="I232" s="136">
        <f t="shared" ca="1" si="60"/>
        <v>3.54</v>
      </c>
      <c r="J232" s="136">
        <f t="shared" ca="1" si="60"/>
        <v>3.54</v>
      </c>
      <c r="K232" s="136">
        <f t="shared" ca="1" si="60"/>
        <v>3.54</v>
      </c>
      <c r="L232" s="136">
        <f t="shared" ca="1" si="60"/>
        <v>3.54</v>
      </c>
      <c r="M232" s="136">
        <f t="shared" ca="1" si="60"/>
        <v>3.54</v>
      </c>
      <c r="N232" s="136">
        <f t="shared" ca="1" si="60"/>
        <v>3.54</v>
      </c>
      <c r="O232" s="136">
        <f t="shared" ca="1" si="60"/>
        <v>3.54</v>
      </c>
      <c r="P232" s="136">
        <f t="shared" ca="1" si="60"/>
        <v>3.54</v>
      </c>
      <c r="Q232" s="136">
        <f t="shared" si="60"/>
        <v>0</v>
      </c>
      <c r="R232" s="136">
        <f t="shared" si="60"/>
        <v>0</v>
      </c>
      <c r="S232" s="136">
        <f t="shared" si="60"/>
        <v>0</v>
      </c>
      <c r="T232" s="136">
        <f t="shared" si="60"/>
        <v>0</v>
      </c>
      <c r="U232" s="136">
        <f t="shared" si="60"/>
        <v>0</v>
      </c>
      <c r="V232" s="136">
        <f t="shared" si="60"/>
        <v>0</v>
      </c>
      <c r="W232" s="136">
        <f t="shared" si="60"/>
        <v>0</v>
      </c>
      <c r="X232" s="136">
        <f t="shared" si="60"/>
        <v>0</v>
      </c>
      <c r="Y232" s="136">
        <f t="shared" si="60"/>
        <v>0</v>
      </c>
      <c r="Z232" s="136">
        <f t="shared" si="60"/>
        <v>0</v>
      </c>
      <c r="AA232" s="136">
        <f t="shared" si="60"/>
        <v>0</v>
      </c>
      <c r="AB232" s="136">
        <f t="shared" si="60"/>
        <v>0</v>
      </c>
      <c r="AC232" s="136">
        <f t="shared" si="60"/>
        <v>0</v>
      </c>
      <c r="AD232" s="136">
        <f t="shared" si="60"/>
        <v>0</v>
      </c>
      <c r="AE232" s="136">
        <f t="shared" si="60"/>
        <v>0</v>
      </c>
      <c r="AF232" s="136">
        <f t="shared" si="60"/>
        <v>0</v>
      </c>
      <c r="AG232" s="145">
        <f t="shared" si="6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1205.6400000000001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25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2079/11/25)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2079/11/25)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61">B89</f>
        <v>800.33999999999992</v>
      </c>
      <c r="U246" s="170">
        <f t="shared" si="61"/>
        <v>759.43999999999994</v>
      </c>
      <c r="V246" s="170">
        <f t="shared" si="61"/>
        <v>745.33999999999992</v>
      </c>
      <c r="W246" s="170">
        <f t="shared" si="61"/>
        <v>721.04</v>
      </c>
      <c r="X246" s="170">
        <f t="shared" si="61"/>
        <v>749.93999999999994</v>
      </c>
      <c r="Y246" s="170">
        <f t="shared" si="61"/>
        <v>800.94</v>
      </c>
      <c r="Z246" s="170">
        <f t="shared" si="61"/>
        <v>816.83999999999992</v>
      </c>
      <c r="AA246" s="170">
        <f t="shared" si="61"/>
        <v>944.64</v>
      </c>
      <c r="AB246" s="170">
        <f t="shared" si="61"/>
        <v>1050.6399999999999</v>
      </c>
      <c r="AC246" s="170">
        <f t="shared" si="61"/>
        <v>1153.24</v>
      </c>
      <c r="AD246" s="170">
        <f t="shared" si="61"/>
        <v>1199.3399999999999</v>
      </c>
      <c r="AE246" s="170">
        <f t="shared" si="61"/>
        <v>1205.6400000000001</v>
      </c>
      <c r="AF246" s="170">
        <f t="shared" si="61"/>
        <v>1156.9099999999999</v>
      </c>
      <c r="AG246" s="170">
        <f t="shared" si="61"/>
        <v>1128.32</v>
      </c>
      <c r="AH246" s="170">
        <f t="shared" si="61"/>
        <v>1139.52</v>
      </c>
      <c r="AI246" s="170">
        <f t="shared" si="61"/>
        <v>1149.6199999999999</v>
      </c>
      <c r="AJ246" s="170">
        <f t="shared" si="61"/>
        <v>1151.42</v>
      </c>
      <c r="AK246" s="170">
        <f t="shared" si="61"/>
        <v>1170.92</v>
      </c>
      <c r="AL246" s="170">
        <f t="shared" si="61"/>
        <v>1194.7199999999998</v>
      </c>
      <c r="AM246" s="170">
        <f t="shared" si="61"/>
        <v>1155.02</v>
      </c>
      <c r="AN246" s="170">
        <f t="shared" si="61"/>
        <v>1171.42</v>
      </c>
      <c r="AO246" s="170">
        <f t="shared" si="61"/>
        <v>1238.04</v>
      </c>
      <c r="AP246" s="170">
        <f t="shared" si="61"/>
        <v>1275.6399999999999</v>
      </c>
      <c r="AQ246" s="170">
        <f t="shared" si="61"/>
        <v>1483.8400000000001</v>
      </c>
      <c r="AR246" s="170">
        <f t="shared" si="61"/>
        <v>1496.54</v>
      </c>
      <c r="AS246" s="170">
        <f t="shared" si="61"/>
        <v>1431.54</v>
      </c>
      <c r="AT246" s="170">
        <f t="shared" si="61"/>
        <v>1377.44</v>
      </c>
      <c r="AU246" s="170">
        <f t="shared" si="61"/>
        <v>1341.34</v>
      </c>
      <c r="AV246" s="170">
        <f t="shared" si="61"/>
        <v>1247.1399999999999</v>
      </c>
      <c r="AW246" s="170">
        <f t="shared" si="61"/>
        <v>1104.44</v>
      </c>
      <c r="AX246" s="170">
        <f t="shared" si="61"/>
        <v>1047.54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62">C231</f>
        <v>0.64</v>
      </c>
      <c r="C267" s="173">
        <f t="shared" si="62"/>
        <v>0.64</v>
      </c>
      <c r="D267" s="173">
        <f t="shared" si="62"/>
        <v>0.64</v>
      </c>
      <c r="E267" s="173">
        <f t="shared" si="62"/>
        <v>0.64</v>
      </c>
      <c r="F267" s="173">
        <f t="shared" si="62"/>
        <v>0.64</v>
      </c>
      <c r="G267" s="173">
        <f t="shared" si="62"/>
        <v>0.64</v>
      </c>
      <c r="H267" s="173">
        <f t="shared" si="62"/>
        <v>0.64</v>
      </c>
      <c r="I267" s="173">
        <f t="shared" si="62"/>
        <v>0.64</v>
      </c>
      <c r="J267" s="173">
        <f t="shared" si="62"/>
        <v>0.64</v>
      </c>
      <c r="K267" s="173">
        <f t="shared" si="62"/>
        <v>0.64</v>
      </c>
      <c r="L267" s="173">
        <f t="shared" si="62"/>
        <v>0.64</v>
      </c>
      <c r="M267" s="173">
        <f t="shared" si="62"/>
        <v>0.64</v>
      </c>
      <c r="N267" s="173">
        <f t="shared" si="62"/>
        <v>0.64</v>
      </c>
      <c r="O267" s="173">
        <f t="shared" si="62"/>
        <v>0.64</v>
      </c>
      <c r="P267" s="173">
        <f t="shared" si="62"/>
        <v>0</v>
      </c>
      <c r="Q267" s="173">
        <f t="shared" si="62"/>
        <v>0</v>
      </c>
      <c r="R267" s="173">
        <f t="shared" si="62"/>
        <v>0</v>
      </c>
      <c r="S267" s="173">
        <f t="shared" si="62"/>
        <v>0</v>
      </c>
      <c r="T267" s="173">
        <f t="shared" si="62"/>
        <v>0</v>
      </c>
      <c r="U267" s="173">
        <f t="shared" si="62"/>
        <v>0</v>
      </c>
      <c r="V267" s="173">
        <f t="shared" si="62"/>
        <v>0</v>
      </c>
      <c r="W267" s="173">
        <f t="shared" si="62"/>
        <v>0</v>
      </c>
      <c r="X267" s="173">
        <f t="shared" si="62"/>
        <v>0</v>
      </c>
      <c r="Y267" s="173">
        <f t="shared" si="62"/>
        <v>0</v>
      </c>
      <c r="Z267" s="173">
        <f t="shared" si="62"/>
        <v>0</v>
      </c>
      <c r="AA267" s="173">
        <f t="shared" si="62"/>
        <v>0</v>
      </c>
      <c r="AB267" s="173">
        <f t="shared" si="62"/>
        <v>0</v>
      </c>
      <c r="AC267" s="173">
        <f t="shared" si="62"/>
        <v>0</v>
      </c>
      <c r="AD267" s="173">
        <f t="shared" si="62"/>
        <v>0</v>
      </c>
      <c r="AE267" s="173">
        <f t="shared" si="6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63">IF(B235&lt;100,"",B235-520)</f>
        <v/>
      </c>
      <c r="C268" s="174" t="str">
        <f t="shared" si="63"/>
        <v/>
      </c>
      <c r="D268" s="174" t="str">
        <f t="shared" si="63"/>
        <v/>
      </c>
      <c r="E268" s="174" t="str">
        <f t="shared" si="63"/>
        <v/>
      </c>
      <c r="F268" s="174" t="str">
        <f t="shared" si="63"/>
        <v/>
      </c>
      <c r="G268" s="174" t="str">
        <f t="shared" si="63"/>
        <v/>
      </c>
      <c r="H268" s="174" t="str">
        <f t="shared" si="63"/>
        <v/>
      </c>
      <c r="I268" s="174" t="str">
        <f t="shared" si="63"/>
        <v/>
      </c>
      <c r="J268" s="174" t="str">
        <f t="shared" si="63"/>
        <v/>
      </c>
      <c r="K268" s="174" t="str">
        <f t="shared" si="63"/>
        <v/>
      </c>
      <c r="L268" s="174" t="str">
        <f t="shared" si="63"/>
        <v/>
      </c>
      <c r="M268" s="174" t="str">
        <f t="shared" si="63"/>
        <v/>
      </c>
      <c r="N268" s="174" t="str">
        <f t="shared" si="63"/>
        <v/>
      </c>
      <c r="O268" s="174" t="str">
        <f t="shared" si="63"/>
        <v/>
      </c>
      <c r="P268" s="174" t="str">
        <f t="shared" si="63"/>
        <v/>
      </c>
      <c r="Q268" s="174" t="str">
        <f t="shared" si="63"/>
        <v/>
      </c>
      <c r="R268" s="174" t="str">
        <f t="shared" si="63"/>
        <v/>
      </c>
      <c r="S268" s="174" t="str">
        <f t="shared" si="63"/>
        <v/>
      </c>
      <c r="T268" s="174" t="str">
        <f t="shared" si="63"/>
        <v/>
      </c>
      <c r="U268" s="174" t="str">
        <f t="shared" si="63"/>
        <v/>
      </c>
      <c r="V268" s="174" t="str">
        <f t="shared" si="63"/>
        <v/>
      </c>
      <c r="W268" s="174" t="str">
        <f t="shared" si="63"/>
        <v/>
      </c>
      <c r="X268" s="174" t="str">
        <f t="shared" si="63"/>
        <v/>
      </c>
      <c r="Y268" s="174" t="str">
        <f t="shared" si="63"/>
        <v/>
      </c>
      <c r="Z268" s="174" t="str">
        <f t="shared" si="63"/>
        <v/>
      </c>
      <c r="AA268" s="174" t="str">
        <f t="shared" si="63"/>
        <v/>
      </c>
      <c r="AB268" s="174" t="str">
        <f t="shared" si="63"/>
        <v/>
      </c>
      <c r="AC268" s="174" t="str">
        <f t="shared" si="63"/>
        <v/>
      </c>
      <c r="AD268" s="174" t="str">
        <f t="shared" si="63"/>
        <v/>
      </c>
      <c r="AE268" s="174" t="str">
        <f t="shared" si="63"/>
        <v/>
      </c>
      <c r="AF268" s="174" t="str">
        <f t="shared" si="6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64">IF(B236&lt;100,"",B236-620)</f>
        <v/>
      </c>
      <c r="C269" s="174" t="str">
        <f t="shared" si="64"/>
        <v/>
      </c>
      <c r="D269" s="174" t="str">
        <f t="shared" si="64"/>
        <v/>
      </c>
      <c r="E269" s="174" t="str">
        <f t="shared" si="64"/>
        <v/>
      </c>
      <c r="F269" s="174" t="str">
        <f t="shared" si="64"/>
        <v/>
      </c>
      <c r="G269" s="174" t="str">
        <f t="shared" si="64"/>
        <v/>
      </c>
      <c r="H269" s="174" t="str">
        <f t="shared" si="64"/>
        <v/>
      </c>
      <c r="I269" s="174" t="str">
        <f t="shared" si="64"/>
        <v/>
      </c>
      <c r="J269" s="174" t="str">
        <f t="shared" si="64"/>
        <v/>
      </c>
      <c r="K269" s="174" t="str">
        <f t="shared" si="64"/>
        <v/>
      </c>
      <c r="L269" s="174" t="str">
        <f t="shared" si="64"/>
        <v/>
      </c>
      <c r="M269" s="174" t="str">
        <f t="shared" si="64"/>
        <v/>
      </c>
      <c r="N269" s="174" t="str">
        <f t="shared" si="64"/>
        <v/>
      </c>
      <c r="O269" s="174" t="str">
        <f t="shared" si="64"/>
        <v/>
      </c>
      <c r="P269" s="174" t="str">
        <f t="shared" si="64"/>
        <v/>
      </c>
      <c r="Q269" s="174" t="str">
        <f t="shared" si="64"/>
        <v/>
      </c>
      <c r="R269" s="174" t="str">
        <f t="shared" si="64"/>
        <v/>
      </c>
      <c r="S269" s="174" t="str">
        <f t="shared" si="64"/>
        <v/>
      </c>
      <c r="T269" s="174" t="str">
        <f t="shared" si="64"/>
        <v/>
      </c>
      <c r="U269" s="174" t="str">
        <f t="shared" si="64"/>
        <v/>
      </c>
      <c r="V269" s="174" t="str">
        <f t="shared" si="64"/>
        <v/>
      </c>
      <c r="W269" s="174" t="str">
        <f t="shared" si="64"/>
        <v/>
      </c>
      <c r="X269" s="174" t="str">
        <f t="shared" si="64"/>
        <v/>
      </c>
      <c r="Y269" s="174" t="str">
        <f t="shared" si="64"/>
        <v/>
      </c>
      <c r="Z269" s="174" t="str">
        <f t="shared" si="64"/>
        <v/>
      </c>
      <c r="AA269" s="174" t="str">
        <f t="shared" si="64"/>
        <v/>
      </c>
      <c r="AB269" s="174" t="str">
        <f t="shared" si="64"/>
        <v/>
      </c>
      <c r="AC269" s="174" t="str">
        <f t="shared" si="64"/>
        <v/>
      </c>
      <c r="AD269" s="174" t="str">
        <f t="shared" si="64"/>
        <v/>
      </c>
      <c r="AE269" s="174" t="str">
        <f t="shared" si="64"/>
        <v/>
      </c>
      <c r="AF269" s="174" t="str">
        <f t="shared" si="6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65">IF(B237&lt;100,"",B237-330)</f>
        <v/>
      </c>
      <c r="C270" s="174" t="str">
        <f t="shared" si="65"/>
        <v/>
      </c>
      <c r="D270" s="174" t="str">
        <f t="shared" si="65"/>
        <v/>
      </c>
      <c r="E270" s="174" t="str">
        <f t="shared" si="65"/>
        <v/>
      </c>
      <c r="F270" s="174" t="str">
        <f t="shared" si="65"/>
        <v/>
      </c>
      <c r="G270" s="174" t="str">
        <f t="shared" si="65"/>
        <v/>
      </c>
      <c r="H270" s="174" t="str">
        <f t="shared" si="65"/>
        <v/>
      </c>
      <c r="I270" s="174" t="str">
        <f t="shared" si="65"/>
        <v/>
      </c>
      <c r="J270" s="174" t="str">
        <f t="shared" si="65"/>
        <v/>
      </c>
      <c r="K270" s="174" t="str">
        <f t="shared" si="65"/>
        <v/>
      </c>
      <c r="L270" s="174" t="str">
        <f t="shared" si="65"/>
        <v/>
      </c>
      <c r="M270" s="174" t="str">
        <f t="shared" si="65"/>
        <v/>
      </c>
      <c r="N270" s="174" t="str">
        <f t="shared" si="65"/>
        <v/>
      </c>
      <c r="O270" s="174" t="str">
        <f t="shared" si="65"/>
        <v/>
      </c>
      <c r="P270" s="174" t="str">
        <f t="shared" si="65"/>
        <v/>
      </c>
      <c r="Q270" s="174" t="str">
        <f t="shared" si="65"/>
        <v/>
      </c>
      <c r="R270" s="174" t="str">
        <f t="shared" si="65"/>
        <v/>
      </c>
      <c r="S270" s="174" t="str">
        <f t="shared" si="65"/>
        <v/>
      </c>
      <c r="T270" s="174" t="str">
        <f t="shared" si="65"/>
        <v/>
      </c>
      <c r="U270" s="174" t="str">
        <f t="shared" si="65"/>
        <v/>
      </c>
      <c r="V270" s="174" t="str">
        <f t="shared" si="65"/>
        <v/>
      </c>
      <c r="W270" s="174" t="str">
        <f t="shared" si="65"/>
        <v/>
      </c>
      <c r="X270" s="174" t="str">
        <f t="shared" si="65"/>
        <v/>
      </c>
      <c r="Y270" s="174" t="str">
        <f t="shared" si="65"/>
        <v/>
      </c>
      <c r="Z270" s="174" t="str">
        <f t="shared" si="65"/>
        <v/>
      </c>
      <c r="AA270" s="174" t="str">
        <f t="shared" si="65"/>
        <v/>
      </c>
      <c r="AB270" s="174" t="str">
        <f t="shared" si="65"/>
        <v/>
      </c>
      <c r="AC270" s="174" t="str">
        <f t="shared" si="65"/>
        <v/>
      </c>
      <c r="AD270" s="174" t="str">
        <f t="shared" si="65"/>
        <v/>
      </c>
      <c r="AE270" s="174" t="str">
        <f t="shared" si="65"/>
        <v/>
      </c>
      <c r="AF270" s="174" t="str">
        <f t="shared" si="6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66">IF(B238&lt;100,"",B238-1500)</f>
        <v/>
      </c>
      <c r="C271" s="174" t="str">
        <f t="shared" si="66"/>
        <v/>
      </c>
      <c r="D271" s="174" t="str">
        <f t="shared" si="66"/>
        <v/>
      </c>
      <c r="E271" s="174" t="str">
        <f t="shared" si="66"/>
        <v/>
      </c>
      <c r="F271" s="174" t="str">
        <f t="shared" si="66"/>
        <v/>
      </c>
      <c r="G271" s="174" t="str">
        <f t="shared" si="66"/>
        <v/>
      </c>
      <c r="H271" s="174" t="str">
        <f t="shared" si="66"/>
        <v/>
      </c>
      <c r="I271" s="174" t="str">
        <f t="shared" si="66"/>
        <v/>
      </c>
      <c r="J271" s="174" t="str">
        <f t="shared" si="66"/>
        <v/>
      </c>
      <c r="K271" s="174" t="str">
        <f t="shared" si="66"/>
        <v/>
      </c>
      <c r="L271" s="174" t="str">
        <f t="shared" si="66"/>
        <v/>
      </c>
      <c r="M271" s="174" t="str">
        <f t="shared" si="66"/>
        <v/>
      </c>
      <c r="N271" s="174" t="str">
        <f t="shared" si="66"/>
        <v/>
      </c>
      <c r="O271" s="174" t="str">
        <f t="shared" si="66"/>
        <v/>
      </c>
      <c r="P271" s="174" t="str">
        <f t="shared" si="66"/>
        <v/>
      </c>
      <c r="Q271" s="174" t="str">
        <f t="shared" si="66"/>
        <v/>
      </c>
      <c r="R271" s="174" t="str">
        <f t="shared" si="66"/>
        <v/>
      </c>
      <c r="S271" s="174" t="str">
        <f t="shared" si="66"/>
        <v/>
      </c>
      <c r="T271" s="174" t="str">
        <f t="shared" si="66"/>
        <v/>
      </c>
      <c r="U271" s="174" t="str">
        <f t="shared" si="66"/>
        <v/>
      </c>
      <c r="V271" s="174" t="str">
        <f t="shared" si="66"/>
        <v/>
      </c>
      <c r="W271" s="174" t="str">
        <f t="shared" si="66"/>
        <v/>
      </c>
      <c r="X271" s="174" t="str">
        <f t="shared" si="66"/>
        <v/>
      </c>
      <c r="Y271" s="174" t="str">
        <f t="shared" si="66"/>
        <v/>
      </c>
      <c r="Z271" s="174" t="str">
        <f t="shared" si="66"/>
        <v/>
      </c>
      <c r="AA271" s="174" t="str">
        <f t="shared" si="66"/>
        <v/>
      </c>
      <c r="AB271" s="174" t="str">
        <f t="shared" si="66"/>
        <v/>
      </c>
      <c r="AC271" s="174" t="str">
        <f t="shared" si="66"/>
        <v/>
      </c>
      <c r="AD271" s="174" t="str">
        <f t="shared" si="66"/>
        <v/>
      </c>
      <c r="AE271" s="174" t="str">
        <f t="shared" si="66"/>
        <v/>
      </c>
      <c r="AF271" s="174" t="str">
        <f t="shared" si="6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9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34:AF43 Y45:AF45 Y17:AF32">
    <cfRule type="expression" dxfId="3626" priority="487">
      <formula>B$9&gt;=20/24</formula>
    </cfRule>
    <cfRule type="expression" dxfId="3625" priority="488">
      <formula>AND(B$9&gt;=14/24,B$9&lt;20/24)</formula>
    </cfRule>
    <cfRule type="expression" dxfId="3624" priority="489">
      <formula>AND(B$9&gt;=8/24,B$9&lt;14/24)</formula>
    </cfRule>
    <cfRule type="expression" dxfId="3623" priority="490">
      <formula>B$9&lt;8/24</formula>
    </cfRule>
  </conditionalFormatting>
  <conditionalFormatting sqref="AL4:AL6">
    <cfRule type="iconSet" priority="486">
      <iconSet iconSet="3TrafficLights2" reverse="1">
        <cfvo type="percent" val="0"/>
        <cfvo type="num" val="1"/>
        <cfvo type="num" val="1"/>
      </iconSet>
    </cfRule>
  </conditionalFormatting>
  <conditionalFormatting sqref="AG65 Y12:AF15 Y34:AF43 Y45:AF45 Y17:AF32">
    <cfRule type="expression" dxfId="3622" priority="485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3621" priority="484">
      <formula>$AH12=0</formula>
    </cfRule>
  </conditionalFormatting>
  <conditionalFormatting sqref="A114">
    <cfRule type="expression" dxfId="3620" priority="483">
      <formula>$AH114=0</formula>
    </cfRule>
  </conditionalFormatting>
  <conditionalFormatting sqref="AL42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619" priority="481">
      <formula>$AH45=0</formula>
    </cfRule>
  </conditionalFormatting>
  <conditionalFormatting sqref="A98">
    <cfRule type="expression" dxfId="3618" priority="480">
      <formula>$AH98=0</formula>
    </cfRule>
  </conditionalFormatting>
  <conditionalFormatting sqref="A18">
    <cfRule type="expression" dxfId="3617" priority="479">
      <formula>$AH18=0</formula>
    </cfRule>
  </conditionalFormatting>
  <conditionalFormatting sqref="A196:A201">
    <cfRule type="expression" dxfId="3616" priority="478">
      <formula>$AH196=0</formula>
    </cfRule>
  </conditionalFormatting>
  <conditionalFormatting sqref="A190:A195">
    <cfRule type="expression" dxfId="3615" priority="477">
      <formula>$AH190=0</formula>
    </cfRule>
  </conditionalFormatting>
  <conditionalFormatting sqref="A58">
    <cfRule type="expression" dxfId="3614" priority="476">
      <formula>$AH58=0</formula>
    </cfRule>
  </conditionalFormatting>
  <conditionalFormatting sqref="A94">
    <cfRule type="expression" dxfId="3613" priority="475">
      <formula>$AH94=0</formula>
    </cfRule>
  </conditionalFormatting>
  <conditionalFormatting sqref="AD99:AF99 E99:X99">
    <cfRule type="expression" dxfId="3612" priority="471">
      <formula>E$9&gt;=20/24</formula>
    </cfRule>
    <cfRule type="expression" dxfId="3611" priority="472">
      <formula>AND(E$9&gt;=14/24,E$9&lt;20/24)</formula>
    </cfRule>
    <cfRule type="expression" dxfId="3610" priority="473">
      <formula>AND(E$9&gt;=8/24,E$9&lt;14/24)</formula>
    </cfRule>
    <cfRule type="expression" dxfId="3609" priority="474">
      <formula>E$9&lt;8/24</formula>
    </cfRule>
  </conditionalFormatting>
  <conditionalFormatting sqref="AL43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08" priority="493">
      <formula>C$9&gt;=20/24</formula>
    </cfRule>
    <cfRule type="expression" dxfId="3607" priority="494">
      <formula>AND(C$9&gt;=14/24,C$9&lt;20/24)</formula>
    </cfRule>
    <cfRule type="expression" dxfId="3606" priority="495">
      <formula>AND(C$9&gt;=8/24,C$9&lt;14/24)</formula>
    </cfRule>
    <cfRule type="expression" dxfId="3605" priority="496">
      <formula>C$9&lt;8/24</formula>
    </cfRule>
  </conditionalFormatting>
  <conditionalFormatting sqref="A233">
    <cfRule type="expression" dxfId="3604" priority="497">
      <formula>$AH233=0</formula>
    </cfRule>
  </conditionalFormatting>
  <conditionalFormatting sqref="AG245">
    <cfRule type="expression" dxfId="3603" priority="498">
      <formula>B$9&gt;=20/24</formula>
    </cfRule>
    <cfRule type="expression" dxfId="3602" priority="499">
      <formula>AND(B$9&gt;=14/24,B$9&lt;20/24)</formula>
    </cfRule>
    <cfRule type="expression" dxfId="3601" priority="500">
      <formula>AND(B$9&gt;=8/24,B$9&lt;14/24)</formula>
    </cfRule>
    <cfRule type="expression" dxfId="3600" priority="501">
      <formula>B$9&lt;8/24</formula>
    </cfRule>
  </conditionalFormatting>
  <conditionalFormatting sqref="S8">
    <cfRule type="expression" dxfId="3599" priority="466">
      <formula>U$9&gt;=20/24</formula>
    </cfRule>
    <cfRule type="expression" dxfId="3598" priority="467">
      <formula>AND(U$9&gt;=14/24,U$9&lt;20/24)</formula>
    </cfRule>
    <cfRule type="expression" dxfId="3597" priority="468">
      <formula>AND(U$9&gt;=8/24,U$9&lt;14/24)</formula>
    </cfRule>
    <cfRule type="expression" dxfId="3596" priority="469">
      <formula>U$9&lt;8/24</formula>
    </cfRule>
  </conditionalFormatting>
  <conditionalFormatting sqref="AB8">
    <cfRule type="expression" dxfId="3595" priority="462">
      <formula>AD$9&gt;=20/24</formula>
    </cfRule>
    <cfRule type="expression" dxfId="3594" priority="463">
      <formula>AND(AD$9&gt;=14/24,AD$9&lt;20/24)</formula>
    </cfRule>
    <cfRule type="expression" dxfId="3593" priority="464">
      <formula>AND(AD$9&gt;=8/24,AD$9&lt;14/24)</formula>
    </cfRule>
    <cfRule type="expression" dxfId="3592" priority="465">
      <formula>AD$9&lt;8/24</formula>
    </cfRule>
  </conditionalFormatting>
  <conditionalFormatting sqref="AH245:AX245">
    <cfRule type="expression" dxfId="3591" priority="502">
      <formula>AG$9&gt;=20/24</formula>
    </cfRule>
    <cfRule type="expression" dxfId="3590" priority="503">
      <formula>AND(AG$9&gt;=14/24,AG$9&lt;20/24)</formula>
    </cfRule>
    <cfRule type="expression" dxfId="3589" priority="504">
      <formula>AND(AG$9&gt;=8/24,AG$9&lt;14/24)</formula>
    </cfRule>
    <cfRule type="expression" dxfId="3588" priority="505">
      <formula>AG$9&lt;8/24</formula>
    </cfRule>
  </conditionalFormatting>
  <conditionalFormatting sqref="T245">
    <cfRule type="expression" dxfId="3587" priority="506">
      <formula>AX$9&gt;=20/24</formula>
    </cfRule>
    <cfRule type="expression" dxfId="3586" priority="507">
      <formula>AND(AX$9&gt;=14/24,AX$9&lt;20/24)</formula>
    </cfRule>
    <cfRule type="expression" dxfId="3585" priority="508">
      <formula>AND(AX$9&gt;=8/24,AX$9&lt;14/24)</formula>
    </cfRule>
    <cfRule type="expression" dxfId="3584" priority="509">
      <formula>AX$9&lt;8/24</formula>
    </cfRule>
  </conditionalFormatting>
  <conditionalFormatting sqref="A115:A116">
    <cfRule type="expression" dxfId="3583" priority="461">
      <formula>$AH115=0</formula>
    </cfRule>
  </conditionalFormatting>
  <conditionalFormatting sqref="O54:V58 W54:X57 Y56:AA57 AB54:AF57 E71:AF71">
    <cfRule type="expression" dxfId="3582" priority="457">
      <formula>E$9&gt;=20/24</formula>
    </cfRule>
    <cfRule type="expression" dxfId="3581" priority="458">
      <formula>AND(E$9&gt;=14/24,E$9&lt;20/24)</formula>
    </cfRule>
    <cfRule type="expression" dxfId="3580" priority="459">
      <formula>AND(E$9&gt;=8/24,E$9&lt;14/24)</formula>
    </cfRule>
    <cfRule type="expression" dxfId="3579" priority="460">
      <formula>E$9&lt;8/24</formula>
    </cfRule>
  </conditionalFormatting>
  <conditionalFormatting sqref="O53:R53 AB53:AF53">
    <cfRule type="expression" dxfId="3578" priority="453">
      <formula>O$9&gt;=20/24</formula>
    </cfRule>
    <cfRule type="expression" dxfId="3577" priority="454">
      <formula>AND(O$9&gt;=14/24,O$9&lt;20/24)</formula>
    </cfRule>
    <cfRule type="expression" dxfId="3576" priority="455">
      <formula>AND(O$9&gt;=8/24,O$9&lt;14/24)</formula>
    </cfRule>
    <cfRule type="expression" dxfId="3575" priority="456">
      <formula>O$9&lt;8/24</formula>
    </cfRule>
  </conditionalFormatting>
  <conditionalFormatting sqref="O53:R58 S54:V58 W54:X57 Y56:AA57 AB53:AF57">
    <cfRule type="expression" dxfId="3574" priority="452">
      <formula>O53&gt;$AG53</formula>
    </cfRule>
  </conditionalFormatting>
  <conditionalFormatting sqref="X96:AF96 AD100:AF106 D86:AF86 M100:X106 E72:X73 X47:AF47 X67:AF69 Y72:AF74">
    <cfRule type="expression" dxfId="3573" priority="448">
      <formula>D$9&gt;=20/24</formula>
    </cfRule>
    <cfRule type="expression" dxfId="3572" priority="449">
      <formula>AND(D$9&gt;=14/24,D$9&lt;20/24)</formula>
    </cfRule>
    <cfRule type="expression" dxfId="3571" priority="450">
      <formula>AND(D$9&gt;=8/24,D$9&lt;14/24)</formula>
    </cfRule>
    <cfRule type="expression" dxfId="3570" priority="451">
      <formula>D$9&lt;8/24</formula>
    </cfRule>
  </conditionalFormatting>
  <conditionalFormatting sqref="X47:AF47 X67:AF69">
    <cfRule type="expression" dxfId="3569" priority="447">
      <formula>X47&gt;$AG47</formula>
    </cfRule>
  </conditionalFormatting>
  <conditionalFormatting sqref="S53:X53 Y53:AA55">
    <cfRule type="expression" dxfId="3568" priority="443">
      <formula>S$9&gt;=20/24</formula>
    </cfRule>
    <cfRule type="expression" dxfId="3567" priority="444">
      <formula>AND(S$9&gt;=14/24,S$9&lt;20/24)</formula>
    </cfRule>
    <cfRule type="expression" dxfId="3566" priority="445">
      <formula>AND(S$9&gt;=8/24,S$9&lt;14/24)</formula>
    </cfRule>
    <cfRule type="expression" dxfId="3565" priority="446">
      <formula>S$9&lt;8/24</formula>
    </cfRule>
  </conditionalFormatting>
  <conditionalFormatting sqref="S53:X53 Y53:AA55">
    <cfRule type="expression" dxfId="3564" priority="442">
      <formula>S53&gt;$AG53</formula>
    </cfRule>
  </conditionalFormatting>
  <conditionalFormatting sqref="C97:AF97 D88:AF88">
    <cfRule type="expression" dxfId="3563" priority="438">
      <formula>C$9&gt;=20/24</formula>
    </cfRule>
    <cfRule type="expression" dxfId="3562" priority="439">
      <formula>AND(C$9&gt;=14/24,C$9&lt;20/24)</formula>
    </cfRule>
    <cfRule type="expression" dxfId="3561" priority="440">
      <formula>AND(C$9&gt;=8/24,C$9&lt;14/24)</formula>
    </cfRule>
    <cfRule type="expression" dxfId="3560" priority="441">
      <formula>C$9&lt;8/24</formula>
    </cfRule>
  </conditionalFormatting>
  <conditionalFormatting sqref="T47:W47">
    <cfRule type="expression" dxfId="3559" priority="434">
      <formula>T$9&gt;=20/24</formula>
    </cfRule>
    <cfRule type="expression" dxfId="3558" priority="435">
      <formula>AND(T$9&gt;=14/24,T$9&lt;20/24)</formula>
    </cfRule>
    <cfRule type="expression" dxfId="3557" priority="436">
      <formula>AND(T$9&gt;=8/24,T$9&lt;14/24)</formula>
    </cfRule>
    <cfRule type="expression" dxfId="3556" priority="437">
      <formula>T$9&lt;8/24</formula>
    </cfRule>
  </conditionalFormatting>
  <conditionalFormatting sqref="T47:W47">
    <cfRule type="expression" dxfId="3555" priority="433">
      <formula>T47&gt;$AG47</formula>
    </cfRule>
  </conditionalFormatting>
  <conditionalFormatting sqref="H54:N55 Y46:AF46">
    <cfRule type="expression" dxfId="3554" priority="429">
      <formula>H$9&gt;=20/24</formula>
    </cfRule>
    <cfRule type="expression" dxfId="3553" priority="430">
      <formula>AND(H$9&gt;=14/24,H$9&lt;20/24)</formula>
    </cfRule>
    <cfRule type="expression" dxfId="3552" priority="431">
      <formula>AND(H$9&gt;=8/24,H$9&lt;14/24)</formula>
    </cfRule>
    <cfRule type="expression" dxfId="3551" priority="432">
      <formula>H$9&lt;8/24</formula>
    </cfRule>
  </conditionalFormatting>
  <conditionalFormatting sqref="H53:N53">
    <cfRule type="expression" dxfId="3550" priority="425">
      <formula>H$9&gt;=20/24</formula>
    </cfRule>
    <cfRule type="expression" dxfId="3549" priority="426">
      <formula>AND(H$9&gt;=14/24,H$9&lt;20/24)</formula>
    </cfRule>
    <cfRule type="expression" dxfId="3548" priority="427">
      <formula>AND(H$9&gt;=8/24,H$9&lt;14/24)</formula>
    </cfRule>
    <cfRule type="expression" dxfId="3547" priority="428">
      <formula>H$9&lt;8/24</formula>
    </cfRule>
  </conditionalFormatting>
  <conditionalFormatting sqref="H53:N55 Y46:AF46">
    <cfRule type="expression" dxfId="3546" priority="424">
      <formula>H46&gt;$AG46</formula>
    </cfRule>
  </conditionalFormatting>
  <conditionalFormatting sqref="AG70 AG87 T67:W69 E100:L106">
    <cfRule type="expression" dxfId="3545" priority="420">
      <formula>E$9&gt;=20/24</formula>
    </cfRule>
    <cfRule type="expression" dxfId="3544" priority="421">
      <formula>AND(E$9&gt;=14/24,E$9&lt;20/24)</formula>
    </cfRule>
    <cfRule type="expression" dxfId="3543" priority="422">
      <formula>AND(E$9&gt;=8/24,E$9&lt;14/24)</formula>
    </cfRule>
    <cfRule type="expression" dxfId="3542" priority="423">
      <formula>E$9&lt;8/24</formula>
    </cfRule>
  </conditionalFormatting>
  <conditionalFormatting sqref="AG48 AG66 AG70 T67:W69">
    <cfRule type="expression" dxfId="3541" priority="419">
      <formula>T48&gt;$AG48</formula>
    </cfRule>
  </conditionalFormatting>
  <conditionalFormatting sqref="Y58:AF58">
    <cfRule type="expression" dxfId="3540" priority="415">
      <formula>Y$9&gt;=20/24</formula>
    </cfRule>
    <cfRule type="expression" dxfId="3539" priority="416">
      <formula>AND(Y$9&gt;=14/24,Y$9&lt;20/24)</formula>
    </cfRule>
    <cfRule type="expression" dxfId="3538" priority="417">
      <formula>AND(Y$9&gt;=8/24,Y$9&lt;14/24)</formula>
    </cfRule>
    <cfRule type="expression" dxfId="3537" priority="418">
      <formula>Y$9&lt;8/24</formula>
    </cfRule>
  </conditionalFormatting>
  <conditionalFormatting sqref="Y58:AF58">
    <cfRule type="expression" dxfId="3536" priority="414">
      <formula>Y58&gt;$AG58</formula>
    </cfRule>
  </conditionalFormatting>
  <conditionalFormatting sqref="A43">
    <cfRule type="expression" dxfId="3535" priority="413">
      <formula>$AH43=0</formula>
    </cfRule>
  </conditionalFormatting>
  <conditionalFormatting sqref="X91:AF95">
    <cfRule type="expression" dxfId="3534" priority="409">
      <formula>X$9&gt;=20/24</formula>
    </cfRule>
    <cfRule type="expression" dxfId="3533" priority="410">
      <formula>AND(X$9&gt;=14/24,X$9&lt;20/24)</formula>
    </cfRule>
    <cfRule type="expression" dxfId="3532" priority="411">
      <formula>AND(X$9&gt;=8/24,X$9&lt;14/24)</formula>
    </cfRule>
    <cfRule type="expression" dxfId="3531" priority="412">
      <formula>X$9&lt;8/24</formula>
    </cfRule>
  </conditionalFormatting>
  <conditionalFormatting sqref="AL45 AL41 AL22:AL32 AL38:AL39 AL7:AL15 AL17:AL20 AL34:AL36">
    <cfRule type="iconSet" priority="510">
      <iconSet iconSet="3TrafficLights2" reverse="1">
        <cfvo type="percent" val="0"/>
        <cfvo type="num" val="1"/>
        <cfvo type="num" val="1"/>
      </iconSet>
    </cfRule>
  </conditionalFormatting>
  <conditionalFormatting sqref="H49:M49 I50:M51 N49:AF51">
    <cfRule type="expression" dxfId="3530" priority="405">
      <formula>H$9&gt;=20/24</formula>
    </cfRule>
    <cfRule type="expression" dxfId="3529" priority="406">
      <formula>AND(H$9&gt;=14/24,H$9&lt;20/24)</formula>
    </cfRule>
    <cfRule type="expression" dxfId="3528" priority="407">
      <formula>AND(H$9&gt;=8/24,H$9&lt;14/24)</formula>
    </cfRule>
    <cfRule type="expression" dxfId="3527" priority="408">
      <formula>H$9&lt;8/24</formula>
    </cfRule>
  </conditionalFormatting>
  <conditionalFormatting sqref="H49:M49 I50:M51 N49:AF51">
    <cfRule type="expression" dxfId="3526" priority="404">
      <formula>H49&gt;$AG49</formula>
    </cfRule>
  </conditionalFormatting>
  <conditionalFormatting sqref="AG52">
    <cfRule type="expression" dxfId="3525" priority="400">
      <formula>AG$9&gt;=20/24</formula>
    </cfRule>
    <cfRule type="expression" dxfId="3524" priority="401">
      <formula>AND(AG$9&gt;=14/24,AG$9&lt;20/24)</formula>
    </cfRule>
    <cfRule type="expression" dxfId="3523" priority="402">
      <formula>AND(AG$9&gt;=8/24,AG$9&lt;14/24)</formula>
    </cfRule>
    <cfRule type="expression" dxfId="3522" priority="403">
      <formula>AG$9&lt;8/24</formula>
    </cfRule>
  </conditionalFormatting>
  <conditionalFormatting sqref="AG52">
    <cfRule type="expression" dxfId="3521" priority="399">
      <formula>AG52&gt;$AG52</formula>
    </cfRule>
  </conditionalFormatting>
  <conditionalFormatting sqref="C107:AF107">
    <cfRule type="expression" dxfId="3520" priority="395">
      <formula>C$9&gt;=20/24</formula>
    </cfRule>
    <cfRule type="expression" dxfId="3519" priority="396">
      <formula>AND(C$9&gt;=14/24,C$9&lt;20/24)</formula>
    </cfRule>
    <cfRule type="expression" dxfId="3518" priority="397">
      <formula>AND(C$9&gt;=8/24,C$9&lt;14/24)</formula>
    </cfRule>
    <cfRule type="expression" dxfId="3517" priority="398">
      <formula>C$9&lt;8/24</formula>
    </cfRule>
  </conditionalFormatting>
  <conditionalFormatting sqref="AL40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516" priority="393">
      <formula>$AH40=0</formula>
    </cfRule>
  </conditionalFormatting>
  <conditionalFormatting sqref="A90">
    <cfRule type="expression" dxfId="3515" priority="391">
      <formula>$AH90=0</formula>
    </cfRule>
  </conditionalFormatting>
  <conditionalFormatting sqref="A87">
    <cfRule type="expression" dxfId="3514" priority="392">
      <formula>$AH87=0</formula>
    </cfRule>
  </conditionalFormatting>
  <conditionalFormatting sqref="D110:AF110">
    <cfRule type="expression" dxfId="3513" priority="387">
      <formula>D$9&gt;=20/24</formula>
    </cfRule>
    <cfRule type="expression" dxfId="3512" priority="388">
      <formula>AND(D$9&gt;=14/24,D$9&lt;20/24)</formula>
    </cfRule>
    <cfRule type="expression" dxfId="3511" priority="389">
      <formula>AND(D$9&gt;=8/24,D$9&lt;14/24)</formula>
    </cfRule>
    <cfRule type="expression" dxfId="3510" priority="390">
      <formula>D$9&lt;8/24</formula>
    </cfRule>
  </conditionalFormatting>
  <conditionalFormatting sqref="A110">
    <cfRule type="expression" dxfId="3509" priority="386">
      <formula>$AH110=0</formula>
    </cfRule>
  </conditionalFormatting>
  <conditionalFormatting sqref="A21">
    <cfRule type="expression" dxfId="3508" priority="384">
      <formula>$AH21=0</formula>
    </cfRule>
  </conditionalFormatting>
  <conditionalFormatting sqref="AL21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507" priority="382">
      <formula>$AH37=0</formula>
    </cfRule>
  </conditionalFormatting>
  <conditionalFormatting sqref="AL37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3506" priority="378">
      <formula>Y$9&gt;=20/24</formula>
    </cfRule>
    <cfRule type="expression" dxfId="3505" priority="379">
      <formula>AND(Y$9&gt;=14/24,Y$9&lt;20/24)</formula>
    </cfRule>
    <cfRule type="expression" dxfId="3504" priority="380">
      <formula>AND(Y$9&gt;=8/24,Y$9&lt;14/24)</formula>
    </cfRule>
    <cfRule type="expression" dxfId="3503" priority="381">
      <formula>Y$9&lt;8/24</formula>
    </cfRule>
  </conditionalFormatting>
  <conditionalFormatting sqref="Y100:AC106">
    <cfRule type="expression" dxfId="3502" priority="374">
      <formula>Y$9&gt;=20/24</formula>
    </cfRule>
    <cfRule type="expression" dxfId="3501" priority="375">
      <formula>AND(Y$9&gt;=14/24,Y$9&lt;20/24)</formula>
    </cfRule>
    <cfRule type="expression" dxfId="3500" priority="376">
      <formula>AND(Y$9&gt;=8/24,Y$9&lt;14/24)</formula>
    </cfRule>
    <cfRule type="expression" dxfId="3499" priority="377">
      <formula>Y$9&lt;8/24</formula>
    </cfRule>
  </conditionalFormatting>
  <conditionalFormatting sqref="C109 C111:C116">
    <cfRule type="expression" dxfId="3498" priority="370">
      <formula>C$9&gt;=20/24</formula>
    </cfRule>
    <cfRule type="expression" dxfId="3497" priority="371">
      <formula>AND(C$9&gt;=14/24,C$9&lt;20/24)</formula>
    </cfRule>
    <cfRule type="expression" dxfId="3496" priority="372">
      <formula>AND(C$9&gt;=8/24,C$9&lt;14/24)</formula>
    </cfRule>
    <cfRule type="expression" dxfId="3495" priority="373">
      <formula>C$9&lt;8/24</formula>
    </cfRule>
  </conditionalFormatting>
  <conditionalFormatting sqref="C47:S47">
    <cfRule type="expression" dxfId="3494" priority="366">
      <formula>C$9&gt;=20/24</formula>
    </cfRule>
    <cfRule type="expression" dxfId="3493" priority="367">
      <formula>AND(C$9&gt;=14/24,C$9&lt;20/24)</formula>
    </cfRule>
    <cfRule type="expression" dxfId="3492" priority="368">
      <formula>AND(C$9&gt;=8/24,C$9&lt;14/24)</formula>
    </cfRule>
    <cfRule type="expression" dxfId="3491" priority="369">
      <formula>C$9&lt;8/24</formula>
    </cfRule>
  </conditionalFormatting>
  <conditionalFormatting sqref="C47:S47">
    <cfRule type="expression" dxfId="3490" priority="365">
      <formula>C47&gt;$AG47</formula>
    </cfRule>
  </conditionalFormatting>
  <conditionalFormatting sqref="C99:D99">
    <cfRule type="expression" dxfId="3489" priority="361">
      <formula>C$9&gt;=20/24</formula>
    </cfRule>
    <cfRule type="expression" dxfId="3488" priority="362">
      <formula>AND(C$9&gt;=14/24,C$9&lt;20/24)</formula>
    </cfRule>
    <cfRule type="expression" dxfId="3487" priority="363">
      <formula>AND(C$9&gt;=8/24,C$9&lt;14/24)</formula>
    </cfRule>
    <cfRule type="expression" dxfId="3486" priority="364">
      <formula>C$9&lt;8/24</formula>
    </cfRule>
  </conditionalFormatting>
  <conditionalFormatting sqref="D71">
    <cfRule type="expression" dxfId="3485" priority="357">
      <formula>D$9&gt;=20/24</formula>
    </cfRule>
    <cfRule type="expression" dxfId="3484" priority="358">
      <formula>AND(D$9&gt;=14/24,D$9&lt;20/24)</formula>
    </cfRule>
    <cfRule type="expression" dxfId="3483" priority="359">
      <formula>AND(D$9&gt;=8/24,D$9&lt;14/24)</formula>
    </cfRule>
    <cfRule type="expression" dxfId="3482" priority="360">
      <formula>D$9&lt;8/24</formula>
    </cfRule>
  </conditionalFormatting>
  <conditionalFormatting sqref="C86 C73:D73 D72 D74:L74 C100:D106 E75:L75 C96:W96 C83:AF85 O67:S69 Y75 M74:X75 O76:Y76 Z75:AF76">
    <cfRule type="expression" dxfId="3481" priority="348">
      <formula>C$9&gt;=20/24</formula>
    </cfRule>
    <cfRule type="expression" dxfId="3480" priority="349">
      <formula>AND(C$9&gt;=14/24,C$9&lt;20/24)</formula>
    </cfRule>
    <cfRule type="expression" dxfId="3479" priority="350">
      <formula>AND(C$9&gt;=8/24,C$9&lt;14/24)</formula>
    </cfRule>
    <cfRule type="expression" dxfId="3478" priority="351">
      <formula>C$9&lt;8/24</formula>
    </cfRule>
  </conditionalFormatting>
  <conditionalFormatting sqref="I56:N57 O67:S69">
    <cfRule type="expression" dxfId="3477" priority="347">
      <formula>I56&gt;$AG56</formula>
    </cfRule>
  </conditionalFormatting>
  <conditionalFormatting sqref="W58:X58">
    <cfRule type="expression" dxfId="3476" priority="343">
      <formula>W$9&gt;=20/24</formula>
    </cfRule>
    <cfRule type="expression" dxfId="3475" priority="344">
      <formula>AND(W$9&gt;=14/24,W$9&lt;20/24)</formula>
    </cfRule>
    <cfRule type="expression" dxfId="3474" priority="345">
      <formula>AND(W$9&gt;=8/24,W$9&lt;14/24)</formula>
    </cfRule>
    <cfRule type="expression" dxfId="3473" priority="346">
      <formula>W$9&lt;8/24</formula>
    </cfRule>
  </conditionalFormatting>
  <conditionalFormatting sqref="W58:X58">
    <cfRule type="expression" dxfId="3472" priority="342">
      <formula>W58&gt;$AG58</formula>
    </cfRule>
  </conditionalFormatting>
  <conditionalFormatting sqref="C71 C54:G55">
    <cfRule type="expression" dxfId="3471" priority="261">
      <formula>C$9&gt;=20/24</formula>
    </cfRule>
    <cfRule type="expression" dxfId="3470" priority="262">
      <formula>AND(C$9&gt;=14/24,C$9&lt;20/24)</formula>
    </cfRule>
    <cfRule type="expression" dxfId="3469" priority="263">
      <formula>AND(C$9&gt;=8/24,C$9&lt;14/24)</formula>
    </cfRule>
    <cfRule type="expression" dxfId="3468" priority="264">
      <formula>C$9&lt;8/24</formula>
    </cfRule>
  </conditionalFormatting>
  <conditionalFormatting sqref="C70:AF70 C87:AF87 C89:AF89 C98:AF98">
    <cfRule type="expression" dxfId="3467" priority="333">
      <formula>C$9&gt;=20/24</formula>
    </cfRule>
    <cfRule type="expression" dxfId="3466" priority="334">
      <formula>AND(C$9&gt;=14/24,C$9&lt;20/24)</formula>
    </cfRule>
    <cfRule type="expression" dxfId="3465" priority="335">
      <formula>AND(C$9&gt;=8/24,C$9&lt;14/24)</formula>
    </cfRule>
    <cfRule type="expression" dxfId="3464" priority="336">
      <formula>C$9&lt;8/24</formula>
    </cfRule>
  </conditionalFormatting>
  <conditionalFormatting sqref="C65:AF66 C70:AF70 C48:AF48">
    <cfRule type="expression" dxfId="3463" priority="332">
      <formula>C48&gt;$AG48</formula>
    </cfRule>
  </conditionalFormatting>
  <conditionalFormatting sqref="C82:AF82">
    <cfRule type="expression" dxfId="3462" priority="328">
      <formula>C$9&gt;=20/24</formula>
    </cfRule>
    <cfRule type="expression" dxfId="3461" priority="329">
      <formula>AND(C$9&gt;=14/24,C$9&lt;20/24)</formula>
    </cfRule>
    <cfRule type="expression" dxfId="3460" priority="330">
      <formula>AND(C$9&gt;=8/24,C$9&lt;14/24)</formula>
    </cfRule>
    <cfRule type="expression" dxfId="3459" priority="331">
      <formula>C$9&lt;8/24</formula>
    </cfRule>
  </conditionalFormatting>
  <conditionalFormatting sqref="C91:W95">
    <cfRule type="expression" dxfId="3458" priority="324">
      <formula>C$9&gt;=20/24</formula>
    </cfRule>
    <cfRule type="expression" dxfId="3457" priority="325">
      <formula>AND(C$9&gt;=14/24,C$9&lt;20/24)</formula>
    </cfRule>
    <cfRule type="expression" dxfId="3456" priority="326">
      <formula>AND(C$9&gt;=8/24,C$9&lt;14/24)</formula>
    </cfRule>
    <cfRule type="expression" dxfId="3455" priority="327">
      <formula>C$9&lt;8/24</formula>
    </cfRule>
  </conditionalFormatting>
  <conditionalFormatting sqref="C52:AF52">
    <cfRule type="expression" dxfId="3454" priority="315">
      <formula>C$9&gt;=20/24</formula>
    </cfRule>
    <cfRule type="expression" dxfId="3453" priority="316">
      <formula>AND(C$9&gt;=14/24,C$9&lt;20/24)</formula>
    </cfRule>
    <cfRule type="expression" dxfId="3452" priority="317">
      <formula>AND(C$9&gt;=8/24,C$9&lt;14/24)</formula>
    </cfRule>
    <cfRule type="expression" dxfId="3451" priority="318">
      <formula>C$9&lt;8/24</formula>
    </cfRule>
  </conditionalFormatting>
  <conditionalFormatting sqref="C52:AF52">
    <cfRule type="expression" dxfId="3450" priority="314">
      <formula>C52&gt;$AG52</formula>
    </cfRule>
  </conditionalFormatting>
  <conditionalFormatting sqref="C110">
    <cfRule type="expression" dxfId="3449" priority="306">
      <formula>C$9&gt;=20/24</formula>
    </cfRule>
    <cfRule type="expression" dxfId="3448" priority="307">
      <formula>AND(C$9&gt;=14/24,C$9&lt;20/24)</formula>
    </cfRule>
    <cfRule type="expression" dxfId="3447" priority="308">
      <formula>AND(C$9&gt;=8/24,C$9&lt;14/24)</formula>
    </cfRule>
    <cfRule type="expression" dxfId="3446" priority="309">
      <formula>C$9&lt;8/24</formula>
    </cfRule>
  </conditionalFormatting>
  <conditionalFormatting sqref="O64:X64 Y59:AF64">
    <cfRule type="expression" dxfId="3445" priority="302">
      <formula>O$9&gt;=20/24</formula>
    </cfRule>
    <cfRule type="expression" dxfId="3444" priority="303">
      <formula>AND(O$9&gt;=14/24,O$9&lt;20/24)</formula>
    </cfRule>
    <cfRule type="expression" dxfId="3443" priority="304">
      <formula>AND(O$9&gt;=8/24,O$9&lt;14/24)</formula>
    </cfRule>
    <cfRule type="expression" dxfId="3442" priority="305">
      <formula>O$9&lt;8/24</formula>
    </cfRule>
  </conditionalFormatting>
  <conditionalFormatting sqref="O64:X64 Y59:AF64">
    <cfRule type="expression" dxfId="3441" priority="301">
      <formula>O59&gt;$AG59</formula>
    </cfRule>
  </conditionalFormatting>
  <conditionalFormatting sqref="O77:AF81">
    <cfRule type="expression" dxfId="3440" priority="283">
      <formula>O$9&gt;=20/24</formula>
    </cfRule>
    <cfRule type="expression" dxfId="3439" priority="284">
      <formula>AND(O$9&gt;=14/24,O$9&lt;20/24)</formula>
    </cfRule>
    <cfRule type="expression" dxfId="3438" priority="285">
      <formula>AND(O$9&gt;=8/24,O$9&lt;14/24)</formula>
    </cfRule>
    <cfRule type="expression" dxfId="3437" priority="286">
      <formula>O$9&lt;8/24</formula>
    </cfRule>
  </conditionalFormatting>
  <conditionalFormatting sqref="AL78:AN78 AL84:AN84 AN79:AN80">
    <cfRule type="expression" dxfId="3436" priority="279">
      <formula>AL$9&gt;=20/24</formula>
    </cfRule>
    <cfRule type="expression" dxfId="3435" priority="280">
      <formula>AND(AL$9&gt;=14/24,AL$9&lt;20/24)</formula>
    </cfRule>
    <cfRule type="expression" dxfId="3434" priority="281">
      <formula>AND(AL$9&gt;=8/24,AL$9&lt;14/24)</formula>
    </cfRule>
    <cfRule type="expression" dxfId="3433" priority="282">
      <formula>AL$9&lt;8/24</formula>
    </cfRule>
  </conditionalFormatting>
  <conditionalFormatting sqref="AN81:AN82">
    <cfRule type="expression" dxfId="3432" priority="275">
      <formula>AN$9&gt;=20/24</formula>
    </cfRule>
    <cfRule type="expression" dxfId="3431" priority="276">
      <formula>AND(AN$9&gt;=14/24,AN$9&lt;20/24)</formula>
    </cfRule>
    <cfRule type="expression" dxfId="3430" priority="277">
      <formula>AND(AN$9&gt;=8/24,AN$9&lt;14/24)</formula>
    </cfRule>
    <cfRule type="expression" dxfId="3429" priority="278">
      <formula>AN$9&lt;8/24</formula>
    </cfRule>
  </conditionalFormatting>
  <conditionalFormatting sqref="AL79:AM83">
    <cfRule type="expression" dxfId="3428" priority="511">
      <formula>AJ$9&gt;=20/24</formula>
    </cfRule>
    <cfRule type="expression" dxfId="3427" priority="512">
      <formula>AND(AJ$9&gt;=14/24,AJ$9&lt;20/24)</formula>
    </cfRule>
    <cfRule type="expression" dxfId="3426" priority="513">
      <formula>AND(AJ$9&gt;=8/24,AJ$9&lt;14/24)</formula>
    </cfRule>
    <cfRule type="expression" dxfId="3425" priority="514">
      <formula>AJ$9&lt;8/24</formula>
    </cfRule>
  </conditionalFormatting>
  <conditionalFormatting sqref="A117">
    <cfRule type="expression" dxfId="3424" priority="274">
      <formula>$AH117=0</formula>
    </cfRule>
  </conditionalFormatting>
  <conditionalFormatting sqref="C53:G53">
    <cfRule type="expression" dxfId="3423" priority="257">
      <formula>C$9&gt;=20/24</formula>
    </cfRule>
    <cfRule type="expression" dxfId="3422" priority="258">
      <formula>AND(C$9&gt;=14/24,C$9&lt;20/24)</formula>
    </cfRule>
    <cfRule type="expression" dxfId="3421" priority="259">
      <formula>AND(C$9&gt;=8/24,C$9&lt;14/24)</formula>
    </cfRule>
    <cfRule type="expression" dxfId="3420" priority="260">
      <formula>C$9&lt;8/24</formula>
    </cfRule>
  </conditionalFormatting>
  <conditionalFormatting sqref="C53:G55">
    <cfRule type="expression" dxfId="3419" priority="256">
      <formula>C53&gt;$AG53</formula>
    </cfRule>
  </conditionalFormatting>
  <conditionalFormatting sqref="C72">
    <cfRule type="expression" dxfId="3418" priority="252">
      <formula>C$9&gt;=20/24</formula>
    </cfRule>
    <cfRule type="expression" dxfId="3417" priority="253">
      <formula>AND(C$9&gt;=14/24,C$9&lt;20/24)</formula>
    </cfRule>
    <cfRule type="expression" dxfId="3416" priority="254">
      <formula>AND(C$9&gt;=8/24,C$9&lt;14/24)</formula>
    </cfRule>
    <cfRule type="expression" dxfId="3415" priority="255">
      <formula>C$9&lt;8/24</formula>
    </cfRule>
  </conditionalFormatting>
  <conditionalFormatting sqref="C88">
    <cfRule type="expression" dxfId="3414" priority="247">
      <formula>C$9&gt;=20/24</formula>
    </cfRule>
    <cfRule type="expression" dxfId="3413" priority="248">
      <formula>AND(C$9&gt;=14/24,C$9&lt;20/24)</formula>
    </cfRule>
    <cfRule type="expression" dxfId="3412" priority="249">
      <formula>AND(C$9&gt;=8/24,C$9&lt;14/24)</formula>
    </cfRule>
    <cfRule type="expression" dxfId="3411" priority="250">
      <formula>C$9&lt;8/24</formula>
    </cfRule>
  </conditionalFormatting>
  <conditionalFormatting sqref="C75:D75">
    <cfRule type="expression" dxfId="3410" priority="216">
      <formula>C$9&gt;=20/24</formula>
    </cfRule>
    <cfRule type="expression" dxfId="3409" priority="217">
      <formula>AND(C$9&gt;=14/24,C$9&lt;20/24)</formula>
    </cfRule>
    <cfRule type="expression" dxfId="3408" priority="218"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" dxfId="3406" priority="185">
      <formula>Y$9&gt;=20/24</formula>
    </cfRule>
    <cfRule type="expression" dxfId="3405" priority="186">
      <formula>AND(Y$9&gt;=14/24,Y$9&lt;20/24)</formula>
    </cfRule>
    <cfRule type="expression" dxfId="3404" priority="187">
      <formula>AND(Y$9&gt;=8/24,Y$9&lt;14/24)</formula>
    </cfRule>
    <cfRule type="expression" dxfId="3403" priority="188">
      <formula>Y$9&lt;8/24</formula>
    </cfRule>
  </conditionalFormatting>
  <conditionalFormatting sqref="Y11:AF11">
    <cfRule type="expression" dxfId="3402" priority="184">
      <formula>Y11&gt;$AG11</formula>
    </cfRule>
  </conditionalFormatting>
  <conditionalFormatting sqref="A11">
    <cfRule type="expression" dxfId="3401" priority="183">
      <formula>$AH11=0</formula>
    </cfRule>
  </conditionalFormatting>
  <conditionalFormatting sqref="Y16:AF16">
    <cfRule type="expression" dxfId="3400" priority="168">
      <formula>Y$9&gt;=20/24</formula>
    </cfRule>
    <cfRule type="expression" dxfId="3399" priority="169">
      <formula>AND(Y$9&gt;=14/24,Y$9&lt;20/24)</formula>
    </cfRule>
    <cfRule type="expression" dxfId="3398" priority="170">
      <formula>AND(Y$9&gt;=8/24,Y$9&lt;14/24)</formula>
    </cfRule>
    <cfRule type="expression" dxfId="3397" priority="171">
      <formula>Y$9&lt;8/24</formula>
    </cfRule>
  </conditionalFormatting>
  <conditionalFormatting sqref="Y16:AF16">
    <cfRule type="expression" dxfId="3396" priority="167">
      <formula>Y16&gt;$AG16</formula>
    </cfRule>
  </conditionalFormatting>
  <conditionalFormatting sqref="A16">
    <cfRule type="expression" dxfId="3395" priority="166">
      <formula>$AH16=0</formula>
    </cfRule>
  </conditionalFormatting>
  <conditionalFormatting sqref="AL1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Y33:AF33">
    <cfRule type="expression" dxfId="3394" priority="151">
      <formula>Y$9&gt;=20/24</formula>
    </cfRule>
    <cfRule type="expression" dxfId="3393" priority="152">
      <formula>AND(Y$9&gt;=14/24,Y$9&lt;20/24)</formula>
    </cfRule>
    <cfRule type="expression" dxfId="3392" priority="153">
      <formula>AND(Y$9&gt;=8/24,Y$9&lt;14/24)</formula>
    </cfRule>
    <cfRule type="expression" dxfId="3391" priority="154">
      <formula>Y$9&lt;8/24</formula>
    </cfRule>
  </conditionalFormatting>
  <conditionalFormatting sqref="Y33:AF33">
    <cfRule type="expression" dxfId="3390" priority="150">
      <formula>Y33&gt;$AG33</formula>
    </cfRule>
  </conditionalFormatting>
  <conditionalFormatting sqref="A33">
    <cfRule type="expression" dxfId="3389" priority="149">
      <formula>$AH33=0</formula>
    </cfRule>
  </conditionalFormatting>
  <conditionalFormatting sqref="AL33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Y44:AF44">
    <cfRule type="expression" dxfId="3388" priority="134">
      <formula>Y$9&gt;=20/24</formula>
    </cfRule>
    <cfRule type="expression" dxfId="3387" priority="135">
      <formula>AND(Y$9&gt;=14/24,Y$9&lt;20/24)</formula>
    </cfRule>
    <cfRule type="expression" dxfId="3386" priority="136">
      <formula>AND(Y$9&gt;=8/24,Y$9&lt;14/24)</formula>
    </cfRule>
    <cfRule type="expression" dxfId="3385" priority="137">
      <formula>Y$9&lt;8/24</formula>
    </cfRule>
  </conditionalFormatting>
  <conditionalFormatting sqref="Y44:AF44">
    <cfRule type="expression" dxfId="3384" priority="133">
      <formula>Y44&gt;$AG44</formula>
    </cfRule>
  </conditionalFormatting>
  <conditionalFormatting sqref="A44">
    <cfRule type="expression" dxfId="3383" priority="132">
      <formula>$AH44=0</formula>
    </cfRule>
  </conditionalFormatting>
  <conditionalFormatting sqref="AL44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3382" priority="118">
      <formula>D$9&gt;=20/24</formula>
    </cfRule>
    <cfRule type="expression" dxfId="3381" priority="119">
      <formula>AND(D$9&gt;=14/24,D$9&lt;20/24)</formula>
    </cfRule>
    <cfRule type="expression" dxfId="3380" priority="120">
      <formula>AND(D$9&gt;=8/24,D$9&lt;14/24)</formula>
    </cfRule>
    <cfRule type="expression" dxfId="3379" priority="121">
      <formula>D$9&lt;8/24</formula>
    </cfRule>
  </conditionalFormatting>
  <conditionalFormatting sqref="C117">
    <cfRule type="expression" dxfId="3378" priority="114">
      <formula>C$9&gt;=20/24</formula>
    </cfRule>
    <cfRule type="expression" dxfId="3377" priority="115">
      <formula>AND(C$9&gt;=14/24,C$9&lt;20/24)</formula>
    </cfRule>
    <cfRule type="expression" dxfId="3376" priority="116">
      <formula>AND(C$9&gt;=8/24,C$9&lt;14/24)</formula>
    </cfRule>
    <cfRule type="expression" dxfId="3375" priority="117">
      <formula>C$9&lt;8/24</formula>
    </cfRule>
  </conditionalFormatting>
  <conditionalFormatting sqref="B111:B116 B109 B34:X43 B45:X45 B12:X15 B17:X32">
    <cfRule type="expression" dxfId="3374" priority="106">
      <formula>B$9&gt;=20/24</formula>
    </cfRule>
    <cfRule type="expression" dxfId="3373" priority="107">
      <formula>AND(B$9&gt;=14/24,B$9&lt;20/24)</formula>
    </cfRule>
    <cfRule type="expression" dxfId="3372" priority="108">
      <formula>AND(B$9&gt;=8/24,B$9&lt;14/24)</formula>
    </cfRule>
    <cfRule type="expression" dxfId="3371" priority="109">
      <formula>B$9&lt;8/24</formula>
    </cfRule>
  </conditionalFormatting>
  <conditionalFormatting sqref="B34:X43 B45:X45 B12:X15 B17:X32">
    <cfRule type="expression" dxfId="3370" priority="105">
      <formula>B12&gt;$AG12</formula>
    </cfRule>
  </conditionalFormatting>
  <conditionalFormatting sqref="B99">
    <cfRule type="expression" dxfId="3369" priority="101">
      <formula>B$9&gt;=20/24</formula>
    </cfRule>
    <cfRule type="expression" dxfId="3368" priority="102">
      <formula>AND(B$9&gt;=14/24,B$9&lt;20/24)</formula>
    </cfRule>
    <cfRule type="expression" dxfId="3367" priority="103">
      <formula>AND(B$9&gt;=8/24,B$9&lt;14/24)</formula>
    </cfRule>
    <cfRule type="expression" dxfId="3366" priority="104">
      <formula>B$9&lt;8/24</formula>
    </cfRule>
  </conditionalFormatting>
  <conditionalFormatting sqref="B71 B54:B57 C56:H57">
    <cfRule type="expression" dxfId="3365" priority="97">
      <formula>B$9&gt;=20/24</formula>
    </cfRule>
    <cfRule type="expression" dxfId="3364" priority="98">
      <formula>AND(B$9&gt;=14/24,B$9&lt;20/24)</formula>
    </cfRule>
    <cfRule type="expression" dxfId="3363" priority="99">
      <formula>AND(B$9&gt;=8/24,B$9&lt;14/24)</formula>
    </cfRule>
    <cfRule type="expression" dxfId="3362" priority="100">
      <formula>B$9&lt;8/24</formula>
    </cfRule>
  </conditionalFormatting>
  <conditionalFormatting sqref="B53">
    <cfRule type="expression" dxfId="3361" priority="93">
      <formula>B$9&gt;=20/24</formula>
    </cfRule>
    <cfRule type="expression" dxfId="3360" priority="94">
      <formula>AND(B$9&gt;=14/24,B$9&lt;20/24)</formula>
    </cfRule>
    <cfRule type="expression" dxfId="3359" priority="95">
      <formula>AND(B$9&gt;=8/24,B$9&lt;14/24)</formula>
    </cfRule>
    <cfRule type="expression" dxfId="3358" priority="96">
      <formula>B$9&lt;8/24</formula>
    </cfRule>
  </conditionalFormatting>
  <conditionalFormatting sqref="B53:B57 C56:H57">
    <cfRule type="expression" dxfId="3357" priority="92">
      <formula>B53&gt;$AG53</formula>
    </cfRule>
  </conditionalFormatting>
  <conditionalFormatting sqref="B47 B96 B86 B72:B74 B100:B106 C74 B67:N69">
    <cfRule type="expression" dxfId="3356" priority="88">
      <formula>B$9&gt;=20/24</formula>
    </cfRule>
    <cfRule type="expression" dxfId="3355" priority="89">
      <formula>AND(B$9&gt;=14/24,B$9&lt;20/24)</formula>
    </cfRule>
    <cfRule type="expression" dxfId="3354" priority="90">
      <formula>AND(B$9&gt;=8/24,B$9&lt;14/24)</formula>
    </cfRule>
    <cfRule type="expression" dxfId="3353" priority="91">
      <formula>B$9&lt;8/24</formula>
    </cfRule>
  </conditionalFormatting>
  <conditionalFormatting sqref="B47 B67:N69">
    <cfRule type="expression" dxfId="3352" priority="87">
      <formula>B47&gt;$AG47</formula>
    </cfRule>
  </conditionalFormatting>
  <conditionalFormatting sqref="B88 B97">
    <cfRule type="expression" dxfId="3351" priority="83">
      <formula>B$9&gt;=20/24</formula>
    </cfRule>
    <cfRule type="expression" dxfId="3350" priority="84">
      <formula>AND(B$9&gt;=14/24,B$9&lt;20/24)</formula>
    </cfRule>
    <cfRule type="expression" dxfId="3349" priority="85">
      <formula>AND(B$9&gt;=8/24,B$9&lt;14/24)</formula>
    </cfRule>
    <cfRule type="expression" dxfId="3348" priority="86">
      <formula>B$9&lt;8/24</formula>
    </cfRule>
  </conditionalFormatting>
  <conditionalFormatting sqref="B46:X46">
    <cfRule type="expression" dxfId="3347" priority="79">
      <formula>B$9&gt;=20/24</formula>
    </cfRule>
    <cfRule type="expression" dxfId="3346" priority="80">
      <formula>AND(B$9&gt;=14/24,B$9&lt;20/24)</formula>
    </cfRule>
    <cfRule type="expression" dxfId="3345" priority="81">
      <formula>AND(B$9&gt;=8/24,B$9&lt;14/24)</formula>
    </cfRule>
    <cfRule type="expression" dxfId="3344" priority="82">
      <formula>B$9&lt;8/24</formula>
    </cfRule>
  </conditionalFormatting>
  <conditionalFormatting sqref="B46:X46">
    <cfRule type="expression" dxfId="3343" priority="78">
      <formula>B46&gt;$AG46</formula>
    </cfRule>
  </conditionalFormatting>
  <conditionalFormatting sqref="B58:N58">
    <cfRule type="expression" dxfId="3342" priority="74">
      <formula>B$9&gt;=20/24</formula>
    </cfRule>
    <cfRule type="expression" dxfId="3341" priority="75">
      <formula>AND(B$9&gt;=14/24,B$9&lt;20/24)</formula>
    </cfRule>
    <cfRule type="expression" dxfId="3340" priority="76">
      <formula>AND(B$9&gt;=8/24,B$9&lt;14/24)</formula>
    </cfRule>
    <cfRule type="expression" dxfId="3339" priority="77">
      <formula>B$9&lt;8/24</formula>
    </cfRule>
  </conditionalFormatting>
  <conditionalFormatting sqref="B58:N58">
    <cfRule type="expression" dxfId="3338" priority="73">
      <formula>B58&gt;$AG58</formula>
    </cfRule>
  </conditionalFormatting>
  <conditionalFormatting sqref="B91:B95">
    <cfRule type="expression" dxfId="3337" priority="69">
      <formula>B$9&gt;=20/24</formula>
    </cfRule>
    <cfRule type="expression" dxfId="3336" priority="70">
      <formula>AND(B$9&gt;=14/24,B$9&lt;20/24)</formula>
    </cfRule>
    <cfRule type="expression" dxfId="3335" priority="71">
      <formula>AND(B$9&gt;=8/24,B$9&lt;14/24)</formula>
    </cfRule>
    <cfRule type="expression" dxfId="3334" priority="72">
      <formula>B$9&lt;8/24</formula>
    </cfRule>
  </conditionalFormatting>
  <conditionalFormatting sqref="B49:G51 H50:H51">
    <cfRule type="expression" dxfId="3333" priority="65">
      <formula>B$9&gt;=20/24</formula>
    </cfRule>
    <cfRule type="expression" dxfId="3332" priority="66">
      <formula>AND(B$9&gt;=14/24,B$9&lt;20/24)</formula>
    </cfRule>
    <cfRule type="expression" dxfId="3331" priority="67">
      <formula>AND(B$9&gt;=8/24,B$9&lt;14/24)</formula>
    </cfRule>
    <cfRule type="expression" dxfId="3330" priority="68">
      <formula>B$9&lt;8/24</formula>
    </cfRule>
  </conditionalFormatting>
  <conditionalFormatting sqref="B49:G51 H50:H51">
    <cfRule type="expression" dxfId="3329" priority="64">
      <formula>B49&gt;$AG49</formula>
    </cfRule>
  </conditionalFormatting>
  <conditionalFormatting sqref="B107">
    <cfRule type="expression" dxfId="3328" priority="60">
      <formula>B$9&gt;=20/24</formula>
    </cfRule>
    <cfRule type="expression" dxfId="3327" priority="61">
      <formula>AND(B$9&gt;=14/24,B$9&lt;20/24)</formula>
    </cfRule>
    <cfRule type="expression" dxfId="3326" priority="62">
      <formula>AND(B$9&gt;=8/24,B$9&lt;14/24)</formula>
    </cfRule>
    <cfRule type="expression" dxfId="3325" priority="63">
      <formula>B$9&lt;8/24</formula>
    </cfRule>
  </conditionalFormatting>
  <conditionalFormatting sqref="B110">
    <cfRule type="expression" dxfId="3324" priority="56">
      <formula>B$9&gt;=20/24</formula>
    </cfRule>
    <cfRule type="expression" dxfId="3323" priority="57">
      <formula>AND(B$9&gt;=14/24,B$9&lt;20/24)</formula>
    </cfRule>
    <cfRule type="expression" dxfId="3322" priority="58">
      <formula>AND(B$9&gt;=8/24,B$9&lt;14/24)</formula>
    </cfRule>
    <cfRule type="expression" dxfId="3321" priority="59">
      <formula>B$9&lt;8/24</formula>
    </cfRule>
  </conditionalFormatting>
  <conditionalFormatting sqref="B83:B85 B75:B76 C76:N76">
    <cfRule type="expression" dxfId="3320" priority="52">
      <formula>B$9&gt;=20/24</formula>
    </cfRule>
    <cfRule type="expression" dxfId="3319" priority="53">
      <formula>AND(B$9&gt;=14/24,B$9&lt;20/24)</formula>
    </cfRule>
    <cfRule type="expression" dxfId="3318" priority="54">
      <formula>AND(B$9&gt;=8/24,B$9&lt;14/24)</formula>
    </cfRule>
    <cfRule type="expression" dxfId="3317" priority="55">
      <formula>B$9&lt;8/24</formula>
    </cfRule>
  </conditionalFormatting>
  <conditionalFormatting sqref="B70 B87 B89 B98">
    <cfRule type="expression" dxfId="3316" priority="48">
      <formula>B$9&gt;=20/24</formula>
    </cfRule>
    <cfRule type="expression" dxfId="3315" priority="49">
      <formula>AND(B$9&gt;=14/24,B$9&lt;20/24)</formula>
    </cfRule>
    <cfRule type="expression" dxfId="3314" priority="50">
      <formula>AND(B$9&gt;=8/24,B$9&lt;14/24)</formula>
    </cfRule>
    <cfRule type="expression" dxfId="3313" priority="51">
      <formula>B$9&lt;8/24</formula>
    </cfRule>
  </conditionalFormatting>
  <conditionalFormatting sqref="B48 B65:B66 B70">
    <cfRule type="expression" dxfId="3312" priority="47">
      <formula>B48&gt;$AG48</formula>
    </cfRule>
  </conditionalFormatting>
  <conditionalFormatting sqref="B82">
    <cfRule type="expression" dxfId="3311" priority="43">
      <formula>B$9&gt;=20/24</formula>
    </cfRule>
    <cfRule type="expression" dxfId="3310" priority="44">
      <formula>AND(B$9&gt;=14/24,B$9&lt;20/24)</formula>
    </cfRule>
    <cfRule type="expression" dxfId="3309" priority="45">
      <formula>AND(B$9&gt;=8/24,B$9&lt;14/24)</formula>
    </cfRule>
    <cfRule type="expression" dxfId="3308" priority="46">
      <formula>B$9&lt;8/24</formula>
    </cfRule>
  </conditionalFormatting>
  <conditionalFormatting sqref="B52">
    <cfRule type="expression" dxfId="3307" priority="39">
      <formula>B$9&gt;=20/24</formula>
    </cfRule>
    <cfRule type="expression" dxfId="3306" priority="40">
      <formula>AND(B$9&gt;=14/24,B$9&lt;20/24)</formula>
    </cfRule>
    <cfRule type="expression" dxfId="3305" priority="41">
      <formula>AND(B$9&gt;=8/24,B$9&lt;14/24)</formula>
    </cfRule>
    <cfRule type="expression" dxfId="3304" priority="42">
      <formula>B$9&lt;8/24</formula>
    </cfRule>
  </conditionalFormatting>
  <conditionalFormatting sqref="B52">
    <cfRule type="expression" dxfId="3303" priority="38">
      <formula>B52&gt;$AG52</formula>
    </cfRule>
  </conditionalFormatting>
  <conditionalFormatting sqref="B59:N64 O59:X63">
    <cfRule type="expression" dxfId="3302" priority="30">
      <formula>B$9&gt;=20/24</formula>
    </cfRule>
    <cfRule type="expression" dxfId="3301" priority="31">
      <formula>AND(B$9&gt;=14/24,B$9&lt;20/24)</formula>
    </cfRule>
    <cfRule type="expression" dxfId="3300" priority="32">
      <formula>AND(B$9&gt;=8/24,B$9&lt;14/24)</formula>
    </cfRule>
    <cfRule type="expression" dxfId="3299" priority="33">
      <formula>B$9&lt;8/24</formula>
    </cfRule>
  </conditionalFormatting>
  <conditionalFormatting sqref="B59:N64 O59:X63">
    <cfRule type="expression" dxfId="3298" priority="29">
      <formula>B59&gt;$AG59</formula>
    </cfRule>
  </conditionalFormatting>
  <conditionalFormatting sqref="B77:N81">
    <cfRule type="expression" dxfId="3297" priority="25">
      <formula>B$9&gt;=20/24</formula>
    </cfRule>
    <cfRule type="expression" dxfId="3296" priority="26">
      <formula>AND(B$9&gt;=14/24,B$9&lt;20/24)</formula>
    </cfRule>
    <cfRule type="expression" dxfId="3295" priority="27">
      <formula>AND(B$9&gt;=8/24,B$9&lt;14/24)</formula>
    </cfRule>
    <cfRule type="expression" dxfId="3294" priority="28">
      <formula>B$9&lt;8/24</formula>
    </cfRule>
  </conditionalFormatting>
  <conditionalFormatting sqref="B11:X11">
    <cfRule type="expression" dxfId="3293" priority="21">
      <formula>B$9&gt;=20/24</formula>
    </cfRule>
    <cfRule type="expression" dxfId="3292" priority="22">
      <formula>AND(B$9&gt;=14/24,B$9&lt;20/24)</formula>
    </cfRule>
    <cfRule type="expression" dxfId="3291" priority="23">
      <formula>AND(B$9&gt;=8/24,B$9&lt;14/24)</formula>
    </cfRule>
    <cfRule type="expression" dxfId="3290" priority="24">
      <formula>B$9&lt;8/24</formula>
    </cfRule>
  </conditionalFormatting>
  <conditionalFormatting sqref="B11:X11">
    <cfRule type="expression" dxfId="3289" priority="20">
      <formula>B11&gt;$AG11</formula>
    </cfRule>
  </conditionalFormatting>
  <conditionalFormatting sqref="B16:X16">
    <cfRule type="expression" dxfId="3288" priority="16">
      <formula>B$9&gt;=20/24</formula>
    </cfRule>
    <cfRule type="expression" dxfId="3287" priority="17">
      <formula>AND(B$9&gt;=14/24,B$9&lt;20/24)</formula>
    </cfRule>
    <cfRule type="expression" dxfId="3286" priority="18">
      <formula>AND(B$9&gt;=8/24,B$9&lt;14/24)</formula>
    </cfRule>
    <cfRule type="expression" dxfId="3285" priority="19">
      <formula>B$9&lt;8/24</formula>
    </cfRule>
  </conditionalFormatting>
  <conditionalFormatting sqref="B16:X16">
    <cfRule type="expression" dxfId="3284" priority="15">
      <formula>B16&gt;$AG16</formula>
    </cfRule>
  </conditionalFormatting>
  <conditionalFormatting sqref="B33:X33">
    <cfRule type="expression" dxfId="3283" priority="11">
      <formula>B$9&gt;=20/24</formula>
    </cfRule>
    <cfRule type="expression" dxfId="3282" priority="12">
      <formula>AND(B$9&gt;=14/24,B$9&lt;20/24)</formula>
    </cfRule>
    <cfRule type="expression" dxfId="3281" priority="13">
      <formula>AND(B$9&gt;=8/24,B$9&lt;14/24)</formula>
    </cfRule>
    <cfRule type="expression" dxfId="3280" priority="14">
      <formula>B$9&lt;8/24</formula>
    </cfRule>
  </conditionalFormatting>
  <conditionalFormatting sqref="B33:X33">
    <cfRule type="expression" dxfId="3279" priority="10">
      <formula>B33&gt;$AG33</formula>
    </cfRule>
  </conditionalFormatting>
  <conditionalFormatting sqref="B44:X44">
    <cfRule type="expression" dxfId="3278" priority="6">
      <formula>B$9&gt;=20/24</formula>
    </cfRule>
    <cfRule type="expression" dxfId="3277" priority="7">
      <formula>AND(B$9&gt;=14/24,B$9&lt;20/24)</formula>
    </cfRule>
    <cfRule type="expression" dxfId="3276" priority="8">
      <formula>AND(B$9&gt;=8/24,B$9&lt;14/24)</formula>
    </cfRule>
    <cfRule type="expression" dxfId="3275" priority="9">
      <formula>B$9&lt;8/24</formula>
    </cfRule>
  </conditionalFormatting>
  <conditionalFormatting sqref="B44:X44">
    <cfRule type="expression" dxfId="3274" priority="5">
      <formula>B44&gt;$AG44</formula>
    </cfRule>
  </conditionalFormatting>
  <conditionalFormatting sqref="B117">
    <cfRule type="expression" dxfId="3273" priority="1">
      <formula>B$9&gt;=20/24</formula>
    </cfRule>
    <cfRule type="expression" dxfId="3272" priority="2">
      <formula>AND(B$9&gt;=14/24,B$9&lt;20/24)</formula>
    </cfRule>
    <cfRule type="expression" dxfId="3271" priority="3">
      <formula>AND(B$9&gt;=8/24,B$9&lt;14/24)</formula>
    </cfRule>
    <cfRule type="expression" dxfId="3270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0" id="{52084D6B-2159-471F-9913-D61AAE41E0A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1" id="{FF1E4297-1852-495B-9DCC-78A1FF0B2F6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2" id="{8A9DB4F1-91F7-477D-BE9D-D26BA6CE04B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3" id="{7A42DF7D-CCBF-4EBE-B207-E76B0990C3D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34" id="{15271AD4-4D00-4407-AF95-D53DFE6E8D8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" id="{7A9C7AAF-C764-42BB-AFBE-668D1C80376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4465621B-FB4A-4409-91B1-2304BE13C13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FCA841FF-4385-4921-BAC2-681A8DEF6CB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8"/>
  <sheetViews>
    <sheetView tabSelected="1" zoomScale="90" zoomScaleNormal="90" workbookViewId="0">
      <pane ySplit="10" topLeftCell="A11" activePane="bottomLeft" state="frozen"/>
      <selection activeCell="Z85" sqref="Z85"/>
      <selection pane="bottomLeft" activeCell="I71" sqref="B71:I7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2079/11/26</v>
      </c>
      <c r="C4" s="208"/>
      <c r="D4" s="208"/>
      <c r="E4" s="209" t="str">
        <f ca="1">"2079/"&amp;"11/"&amp;INT(MID(CELL("filename",G6),FIND("]",CELL("filename",G6))+1,200))</f>
        <v>2079/11/26</v>
      </c>
      <c r="F4" s="209"/>
      <c r="G4" s="209"/>
      <c r="H4" s="209" t="str">
        <f ca="1">TEXT(E4,"dddd")</f>
        <v>Sunday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339</v>
      </c>
      <c r="C5" s="30">
        <f t="shared" si="0"/>
        <v>343</v>
      </c>
      <c r="D5" s="30">
        <f t="shared" si="0"/>
        <v>348.1</v>
      </c>
      <c r="E5" s="30">
        <f t="shared" si="0"/>
        <v>355.5</v>
      </c>
      <c r="F5" s="30">
        <f t="shared" si="0"/>
        <v>421.2</v>
      </c>
      <c r="G5" s="30">
        <f t="shared" si="0"/>
        <v>416.6</v>
      </c>
      <c r="H5" s="30">
        <f t="shared" si="0"/>
        <v>425.7</v>
      </c>
      <c r="I5" s="30">
        <f t="shared" si="0"/>
        <v>448</v>
      </c>
      <c r="J5" s="30">
        <f t="shared" si="0"/>
        <v>441.2</v>
      </c>
      <c r="K5" s="30">
        <f t="shared" si="0"/>
        <v>418.4</v>
      </c>
      <c r="L5" s="30">
        <f t="shared" si="0"/>
        <v>462.3</v>
      </c>
      <c r="M5" s="30">
        <f t="shared" si="0"/>
        <v>483</v>
      </c>
      <c r="N5" s="30">
        <f t="shared" si="0"/>
        <v>545.29999999999995</v>
      </c>
      <c r="O5" s="30">
        <f t="shared" si="0"/>
        <v>563.20000000000005</v>
      </c>
      <c r="P5" s="30">
        <f t="shared" si="0"/>
        <v>552</v>
      </c>
      <c r="Q5" s="30">
        <f t="shared" si="0"/>
        <v>548.70000000000005</v>
      </c>
      <c r="R5" s="30">
        <f t="shared" si="0"/>
        <v>566.79999999999995</v>
      </c>
      <c r="S5" s="30">
        <f t="shared" si="0"/>
        <v>562.79999999999995</v>
      </c>
      <c r="T5" s="30">
        <f t="shared" si="0"/>
        <v>588</v>
      </c>
      <c r="U5" s="30">
        <f t="shared" si="0"/>
        <v>565</v>
      </c>
      <c r="V5" s="30">
        <f t="shared" si="0"/>
        <v>578.29999999999995</v>
      </c>
      <c r="W5" s="30">
        <f t="shared" si="0"/>
        <v>563.20000000000005</v>
      </c>
      <c r="X5" s="30">
        <f t="shared" si="0"/>
        <v>547</v>
      </c>
      <c r="Y5" s="30">
        <f t="shared" si="0"/>
        <v>539</v>
      </c>
      <c r="Z5" s="30">
        <f t="shared" si="0"/>
        <v>452</v>
      </c>
      <c r="AA5" s="30">
        <f t="shared" si="0"/>
        <v>439.5</v>
      </c>
      <c r="AB5" s="30">
        <f t="shared" si="0"/>
        <v>488.9</v>
      </c>
      <c r="AC5" s="30">
        <f t="shared" si="0"/>
        <v>488.4</v>
      </c>
      <c r="AD5" s="30">
        <f t="shared" si="0"/>
        <v>475</v>
      </c>
      <c r="AE5" s="30">
        <f t="shared" si="0"/>
        <v>464</v>
      </c>
      <c r="AF5" s="30">
        <f>B82</f>
        <v>446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Load=954</v>
      </c>
      <c r="B7" s="35">
        <f t="shared" ref="B7:AF7" si="1">B89</f>
        <v>1045.54</v>
      </c>
      <c r="C7" s="35">
        <f t="shared" si="1"/>
        <v>978.54</v>
      </c>
      <c r="D7" s="35">
        <f t="shared" si="1"/>
        <v>966.94</v>
      </c>
      <c r="E7" s="35">
        <f t="shared" si="1"/>
        <v>968.04000000000008</v>
      </c>
      <c r="F7" s="35">
        <f t="shared" si="1"/>
        <v>954.34</v>
      </c>
      <c r="G7" s="35">
        <f t="shared" si="1"/>
        <v>984.44</v>
      </c>
      <c r="H7" s="35">
        <f t="shared" si="1"/>
        <v>1063.6399999999999</v>
      </c>
      <c r="I7" s="35">
        <f t="shared" si="1"/>
        <v>1111.8400000000001</v>
      </c>
      <c r="J7" s="35">
        <f t="shared" si="1"/>
        <v>1283.8400000000001</v>
      </c>
      <c r="K7" s="35">
        <f t="shared" si="1"/>
        <v>1306.94</v>
      </c>
      <c r="L7" s="35">
        <f t="shared" si="1"/>
        <v>1341.44</v>
      </c>
      <c r="M7" s="35">
        <f t="shared" si="1"/>
        <v>1433.54</v>
      </c>
      <c r="N7" s="35">
        <f>N89</f>
        <v>1383.24</v>
      </c>
      <c r="O7" s="35">
        <f t="shared" si="1"/>
        <v>1320.24</v>
      </c>
      <c r="P7" s="35">
        <f t="shared" si="1"/>
        <v>1318.14</v>
      </c>
      <c r="Q7" s="35">
        <f t="shared" si="1"/>
        <v>1341.24</v>
      </c>
      <c r="R7" s="35">
        <f t="shared" si="1"/>
        <v>1323.24</v>
      </c>
      <c r="S7" s="35">
        <f t="shared" si="1"/>
        <v>1342.74</v>
      </c>
      <c r="T7" s="35">
        <f t="shared" si="1"/>
        <v>1350.84</v>
      </c>
      <c r="U7" s="35">
        <f t="shared" si="1"/>
        <v>1396.04</v>
      </c>
      <c r="V7" s="35">
        <f t="shared" si="1"/>
        <v>1381.04</v>
      </c>
      <c r="W7" s="35">
        <f t="shared" si="1"/>
        <v>1375.84</v>
      </c>
      <c r="X7" s="35">
        <f t="shared" si="1"/>
        <v>1397.04</v>
      </c>
      <c r="Y7" s="35">
        <f t="shared" si="1"/>
        <v>1577.44</v>
      </c>
      <c r="Z7" s="35">
        <f t="shared" si="1"/>
        <v>1571.44</v>
      </c>
      <c r="AA7" s="35">
        <f t="shared" si="1"/>
        <v>1451.7400000000002</v>
      </c>
      <c r="AB7" s="35">
        <f t="shared" si="1"/>
        <v>1331.14</v>
      </c>
      <c r="AC7" s="35">
        <f t="shared" si="1"/>
        <v>1373.34</v>
      </c>
      <c r="AD7" s="35">
        <f t="shared" si="1"/>
        <v>1260.04</v>
      </c>
      <c r="AE7" s="35">
        <f t="shared" si="1"/>
        <v>1147.04</v>
      </c>
      <c r="AF7" s="35">
        <f t="shared" si="1"/>
        <v>1064.04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6">
        <v>86</v>
      </c>
      <c r="AH11" s="47">
        <f t="shared" ref="AH11:AH74" si="2">MAX(B11:AF11)</f>
        <v>20</v>
      </c>
      <c r="AI11" s="48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12.8</v>
      </c>
      <c r="C12" s="45">
        <v>12.8</v>
      </c>
      <c r="D12" s="45">
        <v>12.8</v>
      </c>
      <c r="E12" s="45">
        <v>14.3</v>
      </c>
      <c r="F12" s="45">
        <v>14.3</v>
      </c>
      <c r="G12" s="45">
        <v>14.3</v>
      </c>
      <c r="H12" s="45">
        <v>14.3</v>
      </c>
      <c r="I12" s="45">
        <v>14.3</v>
      </c>
      <c r="J12" s="45">
        <v>14.3</v>
      </c>
      <c r="K12" s="45">
        <v>14.3</v>
      </c>
      <c r="L12" s="45">
        <v>14</v>
      </c>
      <c r="M12" s="45">
        <v>14</v>
      </c>
      <c r="N12" s="45">
        <v>14</v>
      </c>
      <c r="O12" s="45">
        <v>14</v>
      </c>
      <c r="P12" s="45">
        <v>14</v>
      </c>
      <c r="Q12" s="45">
        <v>14</v>
      </c>
      <c r="R12" s="45">
        <v>14</v>
      </c>
      <c r="S12" s="45">
        <v>14</v>
      </c>
      <c r="T12" s="45">
        <v>14</v>
      </c>
      <c r="U12" s="45">
        <v>14</v>
      </c>
      <c r="V12" s="45">
        <v>14</v>
      </c>
      <c r="W12" s="45">
        <v>14</v>
      </c>
      <c r="X12" s="45">
        <v>14</v>
      </c>
      <c r="Y12" s="45">
        <v>14</v>
      </c>
      <c r="Z12" s="45">
        <v>14</v>
      </c>
      <c r="AA12" s="45">
        <v>14</v>
      </c>
      <c r="AB12" s="45">
        <v>14</v>
      </c>
      <c r="AC12" s="45">
        <v>14</v>
      </c>
      <c r="AD12" s="45">
        <v>13.5</v>
      </c>
      <c r="AE12" s="45">
        <v>13.5</v>
      </c>
      <c r="AF12" s="45">
        <v>13.5</v>
      </c>
      <c r="AG12" s="46">
        <v>52.4</v>
      </c>
      <c r="AH12" s="47">
        <f t="shared" si="2"/>
        <v>14.3</v>
      </c>
      <c r="AI12" s="48">
        <f t="shared" si="3"/>
        <v>12.8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28.8</v>
      </c>
      <c r="C13" s="45">
        <v>28.8</v>
      </c>
      <c r="D13" s="45">
        <v>28.8</v>
      </c>
      <c r="E13" s="45">
        <v>28.9</v>
      </c>
      <c r="F13" s="45">
        <v>28.9</v>
      </c>
      <c r="G13" s="45">
        <v>28.9</v>
      </c>
      <c r="H13" s="45">
        <v>28.9</v>
      </c>
      <c r="I13" s="45">
        <v>28.9</v>
      </c>
      <c r="J13" s="45">
        <v>28.9</v>
      </c>
      <c r="K13" s="45">
        <v>28.9</v>
      </c>
      <c r="L13" s="45">
        <v>28.4</v>
      </c>
      <c r="M13" s="45">
        <v>28.4</v>
      </c>
      <c r="N13" s="45">
        <v>28.4</v>
      </c>
      <c r="O13" s="45">
        <v>28.4</v>
      </c>
      <c r="P13" s="45">
        <v>28.4</v>
      </c>
      <c r="Q13" s="45">
        <v>28.4</v>
      </c>
      <c r="R13" s="45">
        <v>28.4</v>
      </c>
      <c r="S13" s="45">
        <v>28.4</v>
      </c>
      <c r="T13" s="45">
        <v>28.4</v>
      </c>
      <c r="U13" s="45">
        <v>28.4</v>
      </c>
      <c r="V13" s="45">
        <v>28.4</v>
      </c>
      <c r="W13" s="45">
        <v>28.4</v>
      </c>
      <c r="X13" s="45">
        <v>28.4</v>
      </c>
      <c r="Y13" s="45">
        <v>28.4</v>
      </c>
      <c r="Z13" s="45">
        <v>28.4</v>
      </c>
      <c r="AA13" s="45">
        <v>28.4</v>
      </c>
      <c r="AB13" s="45">
        <v>28.4</v>
      </c>
      <c r="AC13" s="45">
        <v>28.4</v>
      </c>
      <c r="AD13" s="45">
        <v>28.4</v>
      </c>
      <c r="AE13" s="45">
        <v>28.4</v>
      </c>
      <c r="AF13" s="45">
        <v>28.4</v>
      </c>
      <c r="AG13" s="50">
        <v>50</v>
      </c>
      <c r="AH13" s="47">
        <f t="shared" si="2"/>
        <v>28.9</v>
      </c>
      <c r="AI13" s="48">
        <f t="shared" si="3"/>
        <v>28.4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19.100000000000001</v>
      </c>
      <c r="C14" s="45">
        <v>19.100000000000001</v>
      </c>
      <c r="D14" s="45">
        <v>19.100000000000001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15.6</v>
      </c>
      <c r="M14" s="45">
        <v>15.6</v>
      </c>
      <c r="N14" s="45">
        <v>15.6</v>
      </c>
      <c r="O14" s="45">
        <v>15.6</v>
      </c>
      <c r="P14" s="45">
        <v>15.6</v>
      </c>
      <c r="Q14" s="45">
        <v>15.6</v>
      </c>
      <c r="R14" s="45">
        <v>15.6</v>
      </c>
      <c r="S14" s="45">
        <v>15.6</v>
      </c>
      <c r="T14" s="45">
        <v>15.6</v>
      </c>
      <c r="U14" s="45">
        <v>15.6</v>
      </c>
      <c r="V14" s="45">
        <v>15.6</v>
      </c>
      <c r="W14" s="45">
        <v>15.6</v>
      </c>
      <c r="X14" s="45">
        <v>15.6</v>
      </c>
      <c r="Y14" s="45">
        <v>15.6</v>
      </c>
      <c r="Z14" s="45">
        <v>15.6</v>
      </c>
      <c r="AA14" s="45">
        <v>15.6</v>
      </c>
      <c r="AB14" s="45">
        <v>15.6</v>
      </c>
      <c r="AC14" s="45">
        <v>15.6</v>
      </c>
      <c r="AD14" s="45">
        <v>15.6</v>
      </c>
      <c r="AE14" s="45">
        <v>15.6</v>
      </c>
      <c r="AF14" s="45">
        <v>15.6</v>
      </c>
      <c r="AG14" s="50">
        <v>45</v>
      </c>
      <c r="AH14" s="47">
        <f t="shared" si="2"/>
        <v>19.100000000000001</v>
      </c>
      <c r="AI14" s="48">
        <f t="shared" si="3"/>
        <v>15.5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8</v>
      </c>
      <c r="C15" s="45">
        <v>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8</v>
      </c>
      <c r="L15" s="45">
        <v>7</v>
      </c>
      <c r="M15" s="45">
        <v>7</v>
      </c>
      <c r="N15" s="45">
        <v>7</v>
      </c>
      <c r="O15" s="45">
        <v>7</v>
      </c>
      <c r="P15" s="45">
        <v>7</v>
      </c>
      <c r="Q15" s="45">
        <v>7</v>
      </c>
      <c r="R15" s="45">
        <v>7</v>
      </c>
      <c r="S15" s="45">
        <v>7</v>
      </c>
      <c r="T15" s="45">
        <v>7</v>
      </c>
      <c r="U15" s="45">
        <v>7</v>
      </c>
      <c r="V15" s="45">
        <v>7</v>
      </c>
      <c r="W15" s="45">
        <v>7</v>
      </c>
      <c r="X15" s="45">
        <v>7</v>
      </c>
      <c r="Y15" s="45">
        <v>7</v>
      </c>
      <c r="Z15" s="45">
        <v>7</v>
      </c>
      <c r="AA15" s="45">
        <v>7</v>
      </c>
      <c r="AB15" s="45">
        <v>7</v>
      </c>
      <c r="AC15" s="45">
        <v>7</v>
      </c>
      <c r="AD15" s="45">
        <v>7</v>
      </c>
      <c r="AE15" s="45">
        <v>7</v>
      </c>
      <c r="AF15" s="45">
        <v>7</v>
      </c>
      <c r="AG15" s="50">
        <v>42</v>
      </c>
      <c r="AH15" s="47">
        <f t="shared" si="2"/>
        <v>8</v>
      </c>
      <c r="AI15" s="48">
        <f t="shared" si="3"/>
        <v>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7.8</v>
      </c>
      <c r="C18" s="45">
        <v>7.8</v>
      </c>
      <c r="D18" s="45">
        <v>7.8</v>
      </c>
      <c r="E18" s="45">
        <v>7.8</v>
      </c>
      <c r="F18" s="45">
        <v>7.8</v>
      </c>
      <c r="G18" s="45">
        <v>7.8</v>
      </c>
      <c r="H18" s="45">
        <v>7.8</v>
      </c>
      <c r="I18" s="45">
        <v>7.8</v>
      </c>
      <c r="J18" s="45">
        <v>7.8</v>
      </c>
      <c r="K18" s="45">
        <v>7.8</v>
      </c>
      <c r="L18" s="45">
        <v>7.8</v>
      </c>
      <c r="M18" s="45">
        <v>7.8</v>
      </c>
      <c r="N18" s="45">
        <v>7.8</v>
      </c>
      <c r="O18" s="45">
        <v>7.8</v>
      </c>
      <c r="P18" s="45">
        <v>7.8</v>
      </c>
      <c r="Q18" s="45">
        <v>7.8</v>
      </c>
      <c r="R18" s="45">
        <v>7.8</v>
      </c>
      <c r="S18" s="45">
        <v>7.8</v>
      </c>
      <c r="T18" s="45">
        <v>7.8</v>
      </c>
      <c r="U18" s="45">
        <v>7.8</v>
      </c>
      <c r="V18" s="45">
        <v>7.8</v>
      </c>
      <c r="W18" s="45">
        <v>7.8</v>
      </c>
      <c r="X18" s="45">
        <v>7.8</v>
      </c>
      <c r="Y18" s="45">
        <v>7.8</v>
      </c>
      <c r="Z18" s="45">
        <v>7.8</v>
      </c>
      <c r="AA18" s="45">
        <v>7.8</v>
      </c>
      <c r="AB18" s="45">
        <v>7.8</v>
      </c>
      <c r="AC18" s="45">
        <v>7.8</v>
      </c>
      <c r="AD18" s="45">
        <v>7.8</v>
      </c>
      <c r="AE18" s="45">
        <v>7.8</v>
      </c>
      <c r="AF18" s="45">
        <v>7.8</v>
      </c>
      <c r="AG18" s="51">
        <v>30</v>
      </c>
      <c r="AH18" s="47">
        <f t="shared" si="2"/>
        <v>7.8</v>
      </c>
      <c r="AI18" s="48">
        <f t="shared" si="3"/>
        <v>7.8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>
        <v>7</v>
      </c>
      <c r="O21" s="45">
        <v>7</v>
      </c>
      <c r="P21" s="45">
        <v>7</v>
      </c>
      <c r="Q21" s="45">
        <v>7</v>
      </c>
      <c r="R21" s="45">
        <v>7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7</v>
      </c>
      <c r="AF21" s="45">
        <v>7</v>
      </c>
      <c r="AG21" s="51">
        <v>30</v>
      </c>
      <c r="AH21" s="47">
        <f t="shared" si="2"/>
        <v>7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7.7</v>
      </c>
      <c r="C22" s="45">
        <v>7.7</v>
      </c>
      <c r="D22" s="45">
        <v>7.7</v>
      </c>
      <c r="E22" s="45">
        <v>7.7</v>
      </c>
      <c r="F22" s="45">
        <v>7.7</v>
      </c>
      <c r="G22" s="45">
        <v>7.7</v>
      </c>
      <c r="H22" s="45">
        <v>7.7</v>
      </c>
      <c r="I22" s="45">
        <v>7.7</v>
      </c>
      <c r="J22" s="45">
        <v>7.7</v>
      </c>
      <c r="K22" s="45">
        <v>7.7</v>
      </c>
      <c r="L22" s="45">
        <v>7.7</v>
      </c>
      <c r="M22" s="45">
        <v>7.7</v>
      </c>
      <c r="N22" s="45">
        <v>7.7</v>
      </c>
      <c r="O22" s="45">
        <v>7.7</v>
      </c>
      <c r="P22" s="45">
        <v>7.7</v>
      </c>
      <c r="Q22" s="45">
        <v>7.7</v>
      </c>
      <c r="R22" s="45">
        <v>7.7</v>
      </c>
      <c r="S22" s="45">
        <v>7.7</v>
      </c>
      <c r="T22" s="45">
        <v>7.7</v>
      </c>
      <c r="U22" s="45">
        <v>7.7</v>
      </c>
      <c r="V22" s="45">
        <v>7.7</v>
      </c>
      <c r="W22" s="45">
        <v>7.7</v>
      </c>
      <c r="X22" s="45">
        <v>7.7</v>
      </c>
      <c r="Y22" s="45">
        <v>7.7</v>
      </c>
      <c r="Z22" s="45">
        <v>7.7</v>
      </c>
      <c r="AA22" s="45">
        <v>7.7</v>
      </c>
      <c r="AB22" s="45">
        <v>7.7</v>
      </c>
      <c r="AC22" s="45">
        <v>7.7</v>
      </c>
      <c r="AD22" s="45">
        <v>7.7</v>
      </c>
      <c r="AE22" s="45">
        <v>7.7</v>
      </c>
      <c r="AF22" s="45">
        <v>7.7</v>
      </c>
      <c r="AG22" s="50">
        <v>25</v>
      </c>
      <c r="AH22" s="47">
        <f t="shared" si="2"/>
        <v>7.7</v>
      </c>
      <c r="AI22" s="48">
        <f t="shared" si="3"/>
        <v>7.7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5.9</v>
      </c>
      <c r="C26" s="45">
        <v>5.9</v>
      </c>
      <c r="D26" s="45">
        <v>5.9</v>
      </c>
      <c r="E26" s="45">
        <v>5.9</v>
      </c>
      <c r="F26" s="45">
        <v>5.9</v>
      </c>
      <c r="G26" s="45">
        <v>5.9</v>
      </c>
      <c r="H26" s="45">
        <v>5.9</v>
      </c>
      <c r="I26" s="45">
        <v>5.9</v>
      </c>
      <c r="J26" s="45">
        <v>5.9</v>
      </c>
      <c r="K26" s="45">
        <v>5.9</v>
      </c>
      <c r="L26" s="45">
        <v>5.9</v>
      </c>
      <c r="M26" s="45">
        <v>5.9</v>
      </c>
      <c r="N26" s="45">
        <v>5.9</v>
      </c>
      <c r="O26" s="45">
        <v>5.9</v>
      </c>
      <c r="P26" s="45">
        <v>5.9</v>
      </c>
      <c r="Q26" s="45">
        <v>5.9</v>
      </c>
      <c r="R26" s="45">
        <v>5.9</v>
      </c>
      <c r="S26" s="45">
        <v>5.9</v>
      </c>
      <c r="T26" s="45">
        <v>5.9</v>
      </c>
      <c r="U26" s="45">
        <v>5.9</v>
      </c>
      <c r="V26" s="45">
        <v>5.9</v>
      </c>
      <c r="W26" s="45">
        <v>5.9</v>
      </c>
      <c r="X26" s="45">
        <v>5.9</v>
      </c>
      <c r="Y26" s="45">
        <v>5.9</v>
      </c>
      <c r="Z26" s="45">
        <v>5.9</v>
      </c>
      <c r="AA26" s="45">
        <v>5.9</v>
      </c>
      <c r="AB26" s="45">
        <v>5.9</v>
      </c>
      <c r="AC26" s="45">
        <v>5.9</v>
      </c>
      <c r="AD26" s="45">
        <v>5.9</v>
      </c>
      <c r="AE26" s="45">
        <v>5.9</v>
      </c>
      <c r="AF26" s="45">
        <v>5.9</v>
      </c>
      <c r="AG26" s="50">
        <v>23.5</v>
      </c>
      <c r="AH26" s="47">
        <f t="shared" si="2"/>
        <v>5.9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354.70000000000005</v>
      </c>
      <c r="C48" s="60">
        <f t="shared" si="4"/>
        <v>354.70000000000005</v>
      </c>
      <c r="D48" s="60">
        <f t="shared" si="4"/>
        <v>354.70000000000005</v>
      </c>
      <c r="E48" s="60">
        <f t="shared" si="4"/>
        <v>352.70000000000005</v>
      </c>
      <c r="F48" s="60">
        <f t="shared" si="4"/>
        <v>352.70000000000005</v>
      </c>
      <c r="G48" s="60">
        <f t="shared" si="4"/>
        <v>352.70000000000005</v>
      </c>
      <c r="H48" s="60">
        <f t="shared" si="4"/>
        <v>352.70000000000005</v>
      </c>
      <c r="I48" s="60">
        <f t="shared" si="4"/>
        <v>352.70000000000005</v>
      </c>
      <c r="J48" s="60">
        <f t="shared" si="4"/>
        <v>352.70000000000005</v>
      </c>
      <c r="K48" s="60">
        <f t="shared" si="4"/>
        <v>352.70000000000005</v>
      </c>
      <c r="L48" s="60">
        <f t="shared" si="4"/>
        <v>351</v>
      </c>
      <c r="M48" s="60">
        <f t="shared" si="4"/>
        <v>351</v>
      </c>
      <c r="N48" s="60">
        <f t="shared" si="4"/>
        <v>351</v>
      </c>
      <c r="O48" s="60">
        <f t="shared" si="4"/>
        <v>351</v>
      </c>
      <c r="P48" s="60">
        <f t="shared" si="4"/>
        <v>351</v>
      </c>
      <c r="Q48" s="60">
        <f t="shared" si="4"/>
        <v>351</v>
      </c>
      <c r="R48" s="60">
        <f t="shared" si="4"/>
        <v>351</v>
      </c>
      <c r="S48" s="60">
        <f t="shared" si="4"/>
        <v>351</v>
      </c>
      <c r="T48" s="60">
        <f t="shared" si="4"/>
        <v>351</v>
      </c>
      <c r="U48" s="60">
        <f t="shared" ref="U48" si="5">SUM(U12:U46)</f>
        <v>351</v>
      </c>
      <c r="V48" s="60">
        <f t="shared" si="4"/>
        <v>351</v>
      </c>
      <c r="W48" s="60">
        <f t="shared" si="4"/>
        <v>351</v>
      </c>
      <c r="X48" s="60">
        <f t="shared" si="4"/>
        <v>351</v>
      </c>
      <c r="Y48" s="60">
        <f t="shared" si="4"/>
        <v>351</v>
      </c>
      <c r="Z48" s="60">
        <f t="shared" si="4"/>
        <v>351</v>
      </c>
      <c r="AA48" s="60">
        <f t="shared" si="4"/>
        <v>351</v>
      </c>
      <c r="AB48" s="60">
        <f t="shared" si="4"/>
        <v>351</v>
      </c>
      <c r="AC48" s="60">
        <f t="shared" si="4"/>
        <v>351</v>
      </c>
      <c r="AD48" s="60">
        <f t="shared" si="4"/>
        <v>350.5</v>
      </c>
      <c r="AE48" s="60">
        <f t="shared" si="4"/>
        <v>350.5</v>
      </c>
      <c r="AF48" s="60">
        <f t="shared" si="4"/>
        <v>350.5</v>
      </c>
      <c r="AG48" s="61">
        <f t="shared" si="4"/>
        <v>875.68</v>
      </c>
      <c r="AH48" s="47">
        <f t="shared" si="2"/>
        <v>354.70000000000005</v>
      </c>
      <c r="AI48" s="48">
        <f t="shared" si="3"/>
        <v>350.5</v>
      </c>
      <c r="AK48" s="49"/>
    </row>
    <row r="49" spans="1:41" x14ac:dyDescent="0.25">
      <c r="A49" s="62" t="s">
        <v>53</v>
      </c>
      <c r="B49" s="45">
        <v>31</v>
      </c>
      <c r="C49" s="45">
        <v>71</v>
      </c>
      <c r="D49" s="45">
        <v>73</v>
      </c>
      <c r="E49" s="45">
        <v>70</v>
      </c>
      <c r="F49" s="45">
        <v>60</v>
      </c>
      <c r="G49" s="45">
        <v>35</v>
      </c>
      <c r="H49" s="45">
        <v>90</v>
      </c>
      <c r="I49" s="45">
        <v>116</v>
      </c>
      <c r="J49" s="45">
        <v>220</v>
      </c>
      <c r="K49" s="45">
        <v>228</v>
      </c>
      <c r="L49" s="45">
        <v>230</v>
      </c>
      <c r="M49" s="63">
        <v>180</v>
      </c>
      <c r="N49" s="63">
        <v>160</v>
      </c>
      <c r="O49" s="45">
        <v>90</v>
      </c>
      <c r="P49" s="45">
        <v>70</v>
      </c>
      <c r="Q49" s="45">
        <v>75</v>
      </c>
      <c r="R49" s="45">
        <v>50</v>
      </c>
      <c r="S49" s="45">
        <v>70</v>
      </c>
      <c r="T49" s="45">
        <v>80</v>
      </c>
      <c r="U49" s="45">
        <v>100</v>
      </c>
      <c r="V49" s="45">
        <v>60</v>
      </c>
      <c r="W49" s="45">
        <v>60</v>
      </c>
      <c r="X49" s="45">
        <v>50</v>
      </c>
      <c r="Y49" s="45">
        <v>130</v>
      </c>
      <c r="Z49" s="45">
        <v>100</v>
      </c>
      <c r="AA49" s="45">
        <v>130</v>
      </c>
      <c r="AB49" s="45">
        <v>120</v>
      </c>
      <c r="AC49" s="45">
        <v>150</v>
      </c>
      <c r="AD49" s="45">
        <v>130</v>
      </c>
      <c r="AE49" s="45">
        <v>100</v>
      </c>
      <c r="AF49" s="45">
        <v>120</v>
      </c>
      <c r="AG49" s="51">
        <v>456</v>
      </c>
      <c r="AH49" s="47">
        <f t="shared" si="2"/>
        <v>230</v>
      </c>
      <c r="AI49" s="48">
        <f t="shared" si="3"/>
        <v>31</v>
      </c>
      <c r="AK49" s="49"/>
    </row>
    <row r="50" spans="1:41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25</v>
      </c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25</v>
      </c>
      <c r="Z50" s="65">
        <v>25</v>
      </c>
      <c r="AA50" s="65">
        <v>25</v>
      </c>
      <c r="AB50" s="65">
        <v>25</v>
      </c>
      <c r="AC50" s="65">
        <v>25</v>
      </c>
      <c r="AD50" s="65">
        <v>25</v>
      </c>
      <c r="AE50" s="65">
        <v>25</v>
      </c>
      <c r="AF50" s="65">
        <v>25</v>
      </c>
      <c r="AG50" s="54">
        <v>60</v>
      </c>
      <c r="AH50" s="47">
        <f t="shared" si="2"/>
        <v>25</v>
      </c>
      <c r="AI50" s="48">
        <f t="shared" si="3"/>
        <v>25</v>
      </c>
      <c r="AK50" s="49"/>
    </row>
    <row r="51" spans="1:41" ht="15.75" thickBot="1" x14ac:dyDescent="0.3">
      <c r="A51" s="66" t="s">
        <v>55</v>
      </c>
      <c r="B51" s="67">
        <v>9</v>
      </c>
      <c r="C51" s="67">
        <v>9</v>
      </c>
      <c r="D51" s="67">
        <v>9</v>
      </c>
      <c r="E51" s="67">
        <v>9</v>
      </c>
      <c r="F51" s="67">
        <v>9.1</v>
      </c>
      <c r="G51" s="67">
        <v>9</v>
      </c>
      <c r="H51" s="67">
        <v>9</v>
      </c>
      <c r="I51" s="67">
        <v>9</v>
      </c>
      <c r="J51" s="67">
        <v>9</v>
      </c>
      <c r="K51" s="67">
        <v>9</v>
      </c>
      <c r="L51" s="67">
        <v>9</v>
      </c>
      <c r="M51" s="67">
        <v>9</v>
      </c>
      <c r="N51" s="67">
        <v>9</v>
      </c>
      <c r="O51" s="67">
        <v>9</v>
      </c>
      <c r="P51" s="67">
        <v>9</v>
      </c>
      <c r="Q51" s="67">
        <v>9</v>
      </c>
      <c r="R51" s="67">
        <v>9</v>
      </c>
      <c r="S51" s="67">
        <v>9</v>
      </c>
      <c r="T51" s="67">
        <v>9</v>
      </c>
      <c r="U51" s="67">
        <v>9</v>
      </c>
      <c r="V51" s="67">
        <v>9</v>
      </c>
      <c r="W51" s="67">
        <v>9</v>
      </c>
      <c r="X51" s="67">
        <v>9</v>
      </c>
      <c r="Y51" s="67">
        <v>9</v>
      </c>
      <c r="Z51" s="67">
        <v>9</v>
      </c>
      <c r="AA51" s="67">
        <v>9</v>
      </c>
      <c r="AB51" s="67">
        <v>9</v>
      </c>
      <c r="AC51" s="67">
        <v>9</v>
      </c>
      <c r="AD51" s="67">
        <v>9</v>
      </c>
      <c r="AE51" s="67">
        <v>9</v>
      </c>
      <c r="AF51" s="67">
        <v>9</v>
      </c>
      <c r="AG51" s="68">
        <v>22.1</v>
      </c>
      <c r="AH51" s="47">
        <f t="shared" si="2"/>
        <v>9.1</v>
      </c>
      <c r="AI51" s="48">
        <f t="shared" si="3"/>
        <v>9</v>
      </c>
      <c r="AK51" s="49"/>
    </row>
    <row r="52" spans="1:41" ht="15.75" thickBot="1" x14ac:dyDescent="0.3">
      <c r="A52" s="69" t="s">
        <v>56</v>
      </c>
      <c r="B52" s="60">
        <f t="shared" ref="B52:AG52" si="6">SUM(B49:B51)</f>
        <v>65</v>
      </c>
      <c r="C52" s="60">
        <f t="shared" si="6"/>
        <v>105</v>
      </c>
      <c r="D52" s="60">
        <f t="shared" si="6"/>
        <v>107</v>
      </c>
      <c r="E52" s="60">
        <f t="shared" si="6"/>
        <v>104</v>
      </c>
      <c r="F52" s="60">
        <f t="shared" si="6"/>
        <v>94.1</v>
      </c>
      <c r="G52" s="60">
        <f t="shared" si="6"/>
        <v>69</v>
      </c>
      <c r="H52" s="60">
        <f t="shared" si="6"/>
        <v>124</v>
      </c>
      <c r="I52" s="60">
        <f t="shared" si="6"/>
        <v>150</v>
      </c>
      <c r="J52" s="60">
        <f t="shared" si="6"/>
        <v>254</v>
      </c>
      <c r="K52" s="60">
        <f t="shared" si="6"/>
        <v>262</v>
      </c>
      <c r="L52" s="60">
        <f t="shared" si="6"/>
        <v>264</v>
      </c>
      <c r="M52" s="60">
        <f t="shared" si="6"/>
        <v>214</v>
      </c>
      <c r="N52" s="60">
        <f t="shared" si="6"/>
        <v>194</v>
      </c>
      <c r="O52" s="60">
        <f t="shared" si="6"/>
        <v>124</v>
      </c>
      <c r="P52" s="60">
        <f t="shared" si="6"/>
        <v>104</v>
      </c>
      <c r="Q52" s="60">
        <f t="shared" si="6"/>
        <v>109</v>
      </c>
      <c r="R52" s="60">
        <f t="shared" si="6"/>
        <v>84</v>
      </c>
      <c r="S52" s="60">
        <f t="shared" si="6"/>
        <v>104</v>
      </c>
      <c r="T52" s="60">
        <f t="shared" si="6"/>
        <v>114</v>
      </c>
      <c r="U52" s="60">
        <f t="shared" ref="U52" si="7">SUM(U49:U51)</f>
        <v>134</v>
      </c>
      <c r="V52" s="60">
        <f t="shared" si="6"/>
        <v>94</v>
      </c>
      <c r="W52" s="60">
        <f t="shared" si="6"/>
        <v>94</v>
      </c>
      <c r="X52" s="60">
        <f t="shared" si="6"/>
        <v>84</v>
      </c>
      <c r="Y52" s="60">
        <f t="shared" si="6"/>
        <v>164</v>
      </c>
      <c r="Z52" s="60">
        <f t="shared" si="6"/>
        <v>134</v>
      </c>
      <c r="AA52" s="60">
        <f t="shared" si="6"/>
        <v>164</v>
      </c>
      <c r="AB52" s="60">
        <f t="shared" si="6"/>
        <v>154</v>
      </c>
      <c r="AC52" s="60">
        <f t="shared" si="6"/>
        <v>184</v>
      </c>
      <c r="AD52" s="60">
        <f t="shared" si="6"/>
        <v>164</v>
      </c>
      <c r="AE52" s="60">
        <f t="shared" si="6"/>
        <v>134</v>
      </c>
      <c r="AF52" s="60">
        <f t="shared" si="6"/>
        <v>154</v>
      </c>
      <c r="AG52" s="61">
        <f t="shared" si="6"/>
        <v>538.1</v>
      </c>
      <c r="AH52" s="47">
        <f t="shared" si="2"/>
        <v>264</v>
      </c>
      <c r="AI52" s="48">
        <f t="shared" si="3"/>
        <v>65</v>
      </c>
      <c r="AK52" s="49"/>
    </row>
    <row r="53" spans="1:41" x14ac:dyDescent="0.25">
      <c r="A53" s="44" t="s">
        <v>57</v>
      </c>
      <c r="B53" s="45">
        <v>85.6</v>
      </c>
      <c r="C53" s="45">
        <v>85.6</v>
      </c>
      <c r="D53" s="45">
        <v>85</v>
      </c>
      <c r="E53" s="45">
        <v>86.3</v>
      </c>
      <c r="F53" s="45">
        <v>71.099999999999994</v>
      </c>
      <c r="G53" s="45">
        <v>62.3</v>
      </c>
      <c r="H53" s="45">
        <v>91.1</v>
      </c>
      <c r="I53" s="45">
        <v>91.1</v>
      </c>
      <c r="J53" s="45">
        <v>91</v>
      </c>
      <c r="K53" s="45">
        <v>91</v>
      </c>
      <c r="L53" s="45">
        <v>71.5</v>
      </c>
      <c r="M53" s="45">
        <v>75.2</v>
      </c>
      <c r="N53" s="45">
        <v>64.599999999999994</v>
      </c>
      <c r="O53" s="45">
        <v>35.700000000000003</v>
      </c>
      <c r="P53" s="45">
        <v>35.700000000000003</v>
      </c>
      <c r="Q53" s="45">
        <v>32.5</v>
      </c>
      <c r="R53" s="45">
        <v>32.5</v>
      </c>
      <c r="S53" s="45">
        <v>32.799999999999997</v>
      </c>
      <c r="T53" s="45">
        <v>32.799999999999997</v>
      </c>
      <c r="U53" s="45">
        <v>32.799999999999997</v>
      </c>
      <c r="V53" s="45">
        <v>31</v>
      </c>
      <c r="W53" s="45">
        <v>31</v>
      </c>
      <c r="X53" s="45">
        <v>71.400000000000006</v>
      </c>
      <c r="Y53" s="45">
        <v>124</v>
      </c>
      <c r="Z53" s="45">
        <v>138</v>
      </c>
      <c r="AA53" s="45">
        <v>138</v>
      </c>
      <c r="AB53" s="45">
        <v>100</v>
      </c>
      <c r="AC53" s="45">
        <v>91.5</v>
      </c>
      <c r="AD53" s="45">
        <v>91</v>
      </c>
      <c r="AE53" s="45">
        <v>60</v>
      </c>
      <c r="AF53" s="45">
        <v>0</v>
      </c>
      <c r="AG53" s="51">
        <v>144</v>
      </c>
      <c r="AH53" s="47">
        <f t="shared" si="2"/>
        <v>138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17</v>
      </c>
      <c r="C55" s="65">
        <v>17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46</v>
      </c>
      <c r="K55" s="65">
        <v>67.3</v>
      </c>
      <c r="L55" s="65">
        <v>67.599999999999994</v>
      </c>
      <c r="M55" s="65">
        <v>55.7</v>
      </c>
      <c r="N55" s="65">
        <v>55.2</v>
      </c>
      <c r="O55" s="65">
        <v>47.1</v>
      </c>
      <c r="P55" s="65">
        <v>47.1</v>
      </c>
      <c r="Q55" s="65">
        <v>40.799999999999997</v>
      </c>
      <c r="R55" s="65">
        <v>40.799999999999997</v>
      </c>
      <c r="S55" s="45">
        <v>32.9</v>
      </c>
      <c r="T55" s="45">
        <v>32.9</v>
      </c>
      <c r="U55" s="45">
        <v>32.9</v>
      </c>
      <c r="V55" s="45">
        <v>32.9</v>
      </c>
      <c r="W55" s="45">
        <v>16.399999999999999</v>
      </c>
      <c r="X55" s="45">
        <v>17</v>
      </c>
      <c r="Y55" s="45">
        <v>51</v>
      </c>
      <c r="Z55" s="45">
        <v>53</v>
      </c>
      <c r="AA55" s="45">
        <v>61</v>
      </c>
      <c r="AB55" s="65">
        <v>62.7</v>
      </c>
      <c r="AC55" s="65">
        <v>62.6</v>
      </c>
      <c r="AD55" s="65">
        <v>62.6</v>
      </c>
      <c r="AE55" s="65">
        <v>50</v>
      </c>
      <c r="AF55" s="65">
        <v>16</v>
      </c>
      <c r="AG55" s="54">
        <v>69</v>
      </c>
      <c r="AH55" s="47">
        <f t="shared" si="2"/>
        <v>67.599999999999994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36.299999999999997</v>
      </c>
      <c r="C56" s="65">
        <v>36.299999999999997</v>
      </c>
      <c r="D56" s="65">
        <v>36.299999999999997</v>
      </c>
      <c r="E56" s="56">
        <v>36</v>
      </c>
      <c r="F56" s="56">
        <v>40</v>
      </c>
      <c r="G56" s="56">
        <v>39.1</v>
      </c>
      <c r="H56" s="56">
        <v>39.1</v>
      </c>
      <c r="I56" s="56">
        <v>39.200000000000003</v>
      </c>
      <c r="J56" s="56">
        <v>39</v>
      </c>
      <c r="K56" s="56">
        <v>38</v>
      </c>
      <c r="L56" s="56">
        <v>38</v>
      </c>
      <c r="M56" s="65">
        <v>38</v>
      </c>
      <c r="N56" s="65">
        <v>36</v>
      </c>
      <c r="O56" s="65">
        <v>36</v>
      </c>
      <c r="P56" s="65">
        <v>36</v>
      </c>
      <c r="Q56" s="65">
        <v>36</v>
      </c>
      <c r="R56" s="65">
        <v>36</v>
      </c>
      <c r="S56" s="45">
        <v>38</v>
      </c>
      <c r="T56" s="45">
        <v>38</v>
      </c>
      <c r="U56" s="45">
        <v>38</v>
      </c>
      <c r="V56" s="45">
        <v>38</v>
      </c>
      <c r="W56" s="45">
        <v>36</v>
      </c>
      <c r="X56" s="65">
        <v>36.299999999999997</v>
      </c>
      <c r="Y56" s="65">
        <v>36.299999999999997</v>
      </c>
      <c r="Z56" s="65">
        <v>36.299999999999997</v>
      </c>
      <c r="AA56" s="65">
        <v>36.299999999999997</v>
      </c>
      <c r="AB56" s="65">
        <v>36.299999999999997</v>
      </c>
      <c r="AC56" s="65">
        <v>35.299999999999997</v>
      </c>
      <c r="AD56" s="65">
        <v>35.299999999999997</v>
      </c>
      <c r="AE56" s="65">
        <v>35.299999999999997</v>
      </c>
      <c r="AF56" s="65">
        <v>37.299999999999997</v>
      </c>
      <c r="AG56" s="54">
        <v>60</v>
      </c>
      <c r="AH56" s="47">
        <f t="shared" si="2"/>
        <v>40</v>
      </c>
      <c r="AI56" s="48">
        <f t="shared" si="3"/>
        <v>35.299999999999997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56">
        <v>0</v>
      </c>
      <c r="G57" s="56">
        <v>0</v>
      </c>
      <c r="H57" s="56">
        <v>0</v>
      </c>
      <c r="I57" s="56">
        <v>13</v>
      </c>
      <c r="J57" s="56">
        <v>13</v>
      </c>
      <c r="K57" s="56">
        <v>15</v>
      </c>
      <c r="L57" s="56">
        <v>27</v>
      </c>
      <c r="M57" s="65">
        <v>27</v>
      </c>
      <c r="N57" s="65">
        <v>15</v>
      </c>
      <c r="O57" s="65">
        <v>13</v>
      </c>
      <c r="P57" s="65">
        <v>13</v>
      </c>
      <c r="Q57" s="65">
        <v>13</v>
      </c>
      <c r="R57" s="65">
        <v>13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65">
        <v>13</v>
      </c>
      <c r="Y57" s="65">
        <v>13</v>
      </c>
      <c r="Z57" s="65">
        <v>29</v>
      </c>
      <c r="AA57" s="65">
        <v>26</v>
      </c>
      <c r="AB57" s="65">
        <v>26</v>
      </c>
      <c r="AC57" s="65">
        <v>26</v>
      </c>
      <c r="AD57" s="65">
        <v>26</v>
      </c>
      <c r="AE57" s="65">
        <v>0</v>
      </c>
      <c r="AF57" s="65">
        <v>0</v>
      </c>
      <c r="AG57" s="54">
        <v>30</v>
      </c>
      <c r="AH57" s="47">
        <f t="shared" si="2"/>
        <v>29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65">
        <v>0</v>
      </c>
      <c r="N58" s="65">
        <v>8</v>
      </c>
      <c r="O58" s="65">
        <v>8</v>
      </c>
      <c r="P58" s="65">
        <v>8</v>
      </c>
      <c r="Q58" s="65">
        <v>8</v>
      </c>
      <c r="R58" s="65">
        <v>8</v>
      </c>
      <c r="S58" s="45">
        <v>8</v>
      </c>
      <c r="T58" s="45">
        <v>8</v>
      </c>
      <c r="U58" s="45">
        <v>8</v>
      </c>
      <c r="V58" s="45">
        <v>8</v>
      </c>
      <c r="W58" s="45">
        <v>8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8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14.6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14.6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10</v>
      </c>
      <c r="C61" s="65">
        <v>10</v>
      </c>
      <c r="D61" s="65">
        <v>10</v>
      </c>
      <c r="E61" s="65">
        <v>10</v>
      </c>
      <c r="F61" s="65">
        <v>10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10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3.1</v>
      </c>
      <c r="C62" s="65">
        <v>3.1</v>
      </c>
      <c r="D62" s="65">
        <v>3.1</v>
      </c>
      <c r="E62" s="65">
        <v>3.1</v>
      </c>
      <c r="F62" s="65">
        <v>3.1</v>
      </c>
      <c r="G62" s="65">
        <v>3</v>
      </c>
      <c r="H62" s="65">
        <v>3</v>
      </c>
      <c r="I62" s="65">
        <v>3</v>
      </c>
      <c r="J62" s="65">
        <v>3</v>
      </c>
      <c r="K62" s="65">
        <v>3</v>
      </c>
      <c r="L62" s="65">
        <v>3</v>
      </c>
      <c r="M62" s="65">
        <v>3</v>
      </c>
      <c r="N62" s="65">
        <v>3</v>
      </c>
      <c r="O62" s="65">
        <v>3</v>
      </c>
      <c r="P62" s="65">
        <v>3</v>
      </c>
      <c r="Q62" s="65">
        <v>3</v>
      </c>
      <c r="R62" s="65">
        <v>3</v>
      </c>
      <c r="S62" s="65">
        <v>3</v>
      </c>
      <c r="T62" s="65">
        <v>5.0999999999999996</v>
      </c>
      <c r="U62" s="65">
        <v>5.0999999999999996</v>
      </c>
      <c r="V62" s="65">
        <v>5.0999999999999996</v>
      </c>
      <c r="W62" s="65">
        <v>5.0999999999999996</v>
      </c>
      <c r="X62" s="65">
        <v>5.0999999999999996</v>
      </c>
      <c r="Y62" s="65">
        <v>5.0999999999999996</v>
      </c>
      <c r="Z62" s="65">
        <v>5.0999999999999996</v>
      </c>
      <c r="AA62" s="65">
        <v>5.0999999999999996</v>
      </c>
      <c r="AB62" s="65">
        <v>5.0999999999999996</v>
      </c>
      <c r="AC62" s="65">
        <v>5.0999999999999996</v>
      </c>
      <c r="AD62" s="65">
        <v>5.0999999999999996</v>
      </c>
      <c r="AE62" s="65">
        <v>5.0999999999999996</v>
      </c>
      <c r="AF62" s="65">
        <v>5.0999999999999996</v>
      </c>
      <c r="AG62" s="54">
        <v>14</v>
      </c>
      <c r="AH62" s="47">
        <f t="shared" si="2"/>
        <v>5.0999999999999996</v>
      </c>
      <c r="AI62" s="48">
        <f t="shared" si="3"/>
        <v>3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4.5999999999999996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8">SUM(B53:B65)</f>
        <v>179.83999999999995</v>
      </c>
      <c r="C66" s="60">
        <f t="shared" si="8"/>
        <v>179.83999999999995</v>
      </c>
      <c r="D66" s="60">
        <f t="shared" si="8"/>
        <v>162.23999999999998</v>
      </c>
      <c r="E66" s="60">
        <f t="shared" si="8"/>
        <v>163.23999999999998</v>
      </c>
      <c r="F66" s="60">
        <f t="shared" si="8"/>
        <v>152.03999999999996</v>
      </c>
      <c r="G66" s="60">
        <f t="shared" si="8"/>
        <v>141.54</v>
      </c>
      <c r="H66" s="60">
        <f t="shared" si="8"/>
        <v>170.33999999999997</v>
      </c>
      <c r="I66" s="60">
        <f t="shared" si="8"/>
        <v>183.44</v>
      </c>
      <c r="J66" s="60">
        <f t="shared" si="8"/>
        <v>229.14</v>
      </c>
      <c r="K66" s="60">
        <f t="shared" si="8"/>
        <v>251.04</v>
      </c>
      <c r="L66" s="60">
        <f t="shared" si="8"/>
        <v>244.23999999999998</v>
      </c>
      <c r="M66" s="60">
        <f t="shared" si="8"/>
        <v>236.04</v>
      </c>
      <c r="N66" s="60">
        <f t="shared" si="8"/>
        <v>218.94</v>
      </c>
      <c r="O66" s="60">
        <f t="shared" si="8"/>
        <v>179.94</v>
      </c>
      <c r="P66" s="60">
        <f t="shared" si="8"/>
        <v>179.94</v>
      </c>
      <c r="Q66" s="60">
        <f t="shared" si="8"/>
        <v>170.44</v>
      </c>
      <c r="R66" s="60">
        <f t="shared" si="8"/>
        <v>170.44</v>
      </c>
      <c r="S66" s="60">
        <f t="shared" si="8"/>
        <v>151.83999999999997</v>
      </c>
      <c r="T66" s="60">
        <f t="shared" si="8"/>
        <v>153.93999999999997</v>
      </c>
      <c r="U66" s="60">
        <f t="shared" si="8"/>
        <v>153.93999999999997</v>
      </c>
      <c r="V66" s="60">
        <f t="shared" si="8"/>
        <v>152.13999999999999</v>
      </c>
      <c r="W66" s="60">
        <f t="shared" si="8"/>
        <v>133.63999999999999</v>
      </c>
      <c r="X66" s="60">
        <f t="shared" si="8"/>
        <v>179.93999999999997</v>
      </c>
      <c r="Y66" s="60">
        <f t="shared" si="8"/>
        <v>266.54000000000008</v>
      </c>
      <c r="Z66" s="60">
        <f t="shared" si="8"/>
        <v>298.54000000000008</v>
      </c>
      <c r="AA66" s="60">
        <f t="shared" si="8"/>
        <v>303.54000000000008</v>
      </c>
      <c r="AB66" s="60">
        <f t="shared" si="8"/>
        <v>267.24000000000007</v>
      </c>
      <c r="AC66" s="60">
        <f t="shared" si="8"/>
        <v>257.64</v>
      </c>
      <c r="AD66" s="60">
        <f t="shared" si="8"/>
        <v>257.14</v>
      </c>
      <c r="AE66" s="60">
        <f t="shared" si="8"/>
        <v>187.54</v>
      </c>
      <c r="AF66" s="60">
        <f t="shared" si="8"/>
        <v>95.539999999999992</v>
      </c>
      <c r="AG66" s="61">
        <f t="shared" si="8"/>
        <v>489.91</v>
      </c>
      <c r="AH66" s="47">
        <f t="shared" si="2"/>
        <v>303.54000000000008</v>
      </c>
      <c r="AI66" s="48">
        <f t="shared" si="3"/>
        <v>95.539999999999992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44</v>
      </c>
      <c r="M67" s="45">
        <v>44</v>
      </c>
      <c r="N67" s="45">
        <v>10</v>
      </c>
      <c r="O67" s="45">
        <v>0</v>
      </c>
      <c r="P67" s="45">
        <v>0</v>
      </c>
      <c r="Q67" s="45">
        <v>20</v>
      </c>
      <c r="R67" s="45">
        <v>30</v>
      </c>
      <c r="S67" s="45">
        <v>30</v>
      </c>
      <c r="T67" s="45">
        <v>30</v>
      </c>
      <c r="U67" s="45">
        <v>30</v>
      </c>
      <c r="V67" s="45">
        <v>60</v>
      </c>
      <c r="W67" s="45">
        <v>60</v>
      </c>
      <c r="X67" s="45">
        <v>60</v>
      </c>
      <c r="Y67" s="45">
        <v>60</v>
      </c>
      <c r="Z67" s="45">
        <v>60</v>
      </c>
      <c r="AA67" s="45">
        <v>34</v>
      </c>
      <c r="AB67" s="45">
        <v>30</v>
      </c>
      <c r="AC67" s="45">
        <v>15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14.6</v>
      </c>
      <c r="M68" s="65">
        <v>19.2</v>
      </c>
      <c r="N68" s="65">
        <v>4.5999999999999996</v>
      </c>
      <c r="O68" s="65">
        <v>0</v>
      </c>
      <c r="P68" s="65">
        <v>0</v>
      </c>
      <c r="Q68" s="65">
        <v>13.8</v>
      </c>
      <c r="R68" s="45">
        <v>14</v>
      </c>
      <c r="S68" s="45">
        <v>14</v>
      </c>
      <c r="T68" s="45">
        <v>14</v>
      </c>
      <c r="U68" s="45">
        <v>14</v>
      </c>
      <c r="V68" s="65">
        <v>28.5</v>
      </c>
      <c r="W68" s="65">
        <v>28.5</v>
      </c>
      <c r="X68" s="65">
        <v>28.5</v>
      </c>
      <c r="Y68" s="65">
        <v>28.5</v>
      </c>
      <c r="Z68" s="65">
        <v>28.5</v>
      </c>
      <c r="AA68" s="65">
        <v>20</v>
      </c>
      <c r="AB68" s="65">
        <v>14.2</v>
      </c>
      <c r="AC68" s="65">
        <v>5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28.5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5.2</v>
      </c>
      <c r="M69" s="67">
        <v>7</v>
      </c>
      <c r="N69" s="67">
        <v>1.7</v>
      </c>
      <c r="O69" s="67">
        <v>0</v>
      </c>
      <c r="P69" s="67">
        <v>0</v>
      </c>
      <c r="Q69" s="67">
        <v>5</v>
      </c>
      <c r="R69" s="45">
        <v>5.0999999999999996</v>
      </c>
      <c r="S69" s="45">
        <v>5.0999999999999996</v>
      </c>
      <c r="T69" s="45">
        <v>5.0999999999999996</v>
      </c>
      <c r="U69" s="45">
        <v>5.0999999999999996</v>
      </c>
      <c r="V69" s="67">
        <v>10.4</v>
      </c>
      <c r="W69" s="67">
        <v>10.4</v>
      </c>
      <c r="X69" s="67">
        <v>10.4</v>
      </c>
      <c r="Y69" s="67">
        <v>10.4</v>
      </c>
      <c r="Z69" s="67">
        <v>10.4</v>
      </c>
      <c r="AA69" s="67">
        <v>7.2</v>
      </c>
      <c r="AB69" s="67">
        <v>5.2</v>
      </c>
      <c r="AC69" s="67">
        <v>1.8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10.4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9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63.800000000000004</v>
      </c>
      <c r="M70" s="60">
        <f t="shared" ref="M70:AF70" si="10">M67+M68+M69</f>
        <v>70.2</v>
      </c>
      <c r="N70" s="60">
        <f t="shared" si="10"/>
        <v>16.3</v>
      </c>
      <c r="O70" s="60">
        <f t="shared" si="10"/>
        <v>0</v>
      </c>
      <c r="P70" s="60">
        <f t="shared" si="10"/>
        <v>0</v>
      </c>
      <c r="Q70" s="60">
        <f t="shared" si="10"/>
        <v>38.799999999999997</v>
      </c>
      <c r="R70" s="60">
        <f t="shared" si="10"/>
        <v>49.1</v>
      </c>
      <c r="S70" s="60">
        <f t="shared" si="10"/>
        <v>49.1</v>
      </c>
      <c r="T70" s="60">
        <f t="shared" si="10"/>
        <v>49.1</v>
      </c>
      <c r="U70" s="60">
        <f t="shared" si="10"/>
        <v>49.1</v>
      </c>
      <c r="V70" s="60">
        <f t="shared" si="10"/>
        <v>98.9</v>
      </c>
      <c r="W70" s="60">
        <f t="shared" si="10"/>
        <v>98.9</v>
      </c>
      <c r="X70" s="60">
        <f t="shared" si="10"/>
        <v>98.9</v>
      </c>
      <c r="Y70" s="60">
        <f t="shared" si="10"/>
        <v>98.9</v>
      </c>
      <c r="Z70" s="60">
        <f t="shared" si="10"/>
        <v>98.9</v>
      </c>
      <c r="AA70" s="60">
        <f t="shared" si="10"/>
        <v>61.2</v>
      </c>
      <c r="AB70" s="60">
        <f t="shared" si="10"/>
        <v>49.400000000000006</v>
      </c>
      <c r="AC70" s="60">
        <f t="shared" si="10"/>
        <v>21.8</v>
      </c>
      <c r="AD70" s="60">
        <f t="shared" si="10"/>
        <v>0</v>
      </c>
      <c r="AE70" s="60">
        <f t="shared" si="10"/>
        <v>0</v>
      </c>
      <c r="AF70" s="60">
        <f t="shared" si="10"/>
        <v>0</v>
      </c>
      <c r="AG70" s="61">
        <f>SUM(AG67:AG69)</f>
        <v>106</v>
      </c>
      <c r="AH70" s="47">
        <f t="shared" si="2"/>
        <v>98.9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69</v>
      </c>
      <c r="C71" s="45">
        <v>59</v>
      </c>
      <c r="D71" s="45">
        <v>54</v>
      </c>
      <c r="E71" s="45">
        <v>60</v>
      </c>
      <c r="F71" s="45">
        <v>59.6</v>
      </c>
      <c r="G71" s="45">
        <v>65</v>
      </c>
      <c r="H71" s="45">
        <v>58</v>
      </c>
      <c r="I71" s="45">
        <v>65</v>
      </c>
      <c r="J71" s="45">
        <v>75</v>
      </c>
      <c r="K71" s="45">
        <v>80</v>
      </c>
      <c r="L71" s="45">
        <v>65</v>
      </c>
      <c r="M71" s="45">
        <v>75.2</v>
      </c>
      <c r="N71" s="45">
        <v>65</v>
      </c>
      <c r="O71" s="45">
        <v>60.8</v>
      </c>
      <c r="P71" s="45">
        <v>66.5</v>
      </c>
      <c r="Q71" s="45">
        <v>73</v>
      </c>
      <c r="R71" s="45">
        <v>68.7</v>
      </c>
      <c r="S71" s="45">
        <v>72.8</v>
      </c>
      <c r="T71" s="45">
        <v>72.8</v>
      </c>
      <c r="U71" s="45">
        <v>75</v>
      </c>
      <c r="V71" s="45">
        <v>77</v>
      </c>
      <c r="W71" s="45">
        <v>70.3</v>
      </c>
      <c r="X71" s="45">
        <v>58.2</v>
      </c>
      <c r="Y71" s="45">
        <v>68</v>
      </c>
      <c r="Z71" s="45">
        <v>67</v>
      </c>
      <c r="AA71" s="45">
        <v>69</v>
      </c>
      <c r="AB71" s="45">
        <v>66</v>
      </c>
      <c r="AC71" s="45">
        <v>61.1</v>
      </c>
      <c r="AD71" s="45">
        <v>58</v>
      </c>
      <c r="AE71" s="45">
        <v>61</v>
      </c>
      <c r="AF71" s="45">
        <v>59</v>
      </c>
      <c r="AG71" s="51"/>
      <c r="AH71" s="47">
        <f t="shared" si="2"/>
        <v>80</v>
      </c>
      <c r="AI71" s="48">
        <f t="shared" si="3"/>
        <v>54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227</v>
      </c>
      <c r="C73" s="65">
        <v>156</v>
      </c>
      <c r="D73" s="65">
        <v>164</v>
      </c>
      <c r="E73" s="65">
        <v>166</v>
      </c>
      <c r="F73" s="65">
        <v>171</v>
      </c>
      <c r="G73" s="65">
        <v>230</v>
      </c>
      <c r="H73" s="65">
        <v>231</v>
      </c>
      <c r="I73" s="65">
        <v>230</v>
      </c>
      <c r="J73" s="65">
        <v>236</v>
      </c>
      <c r="K73" s="65">
        <v>235</v>
      </c>
      <c r="L73" s="65">
        <v>232</v>
      </c>
      <c r="M73" s="65">
        <v>265</v>
      </c>
      <c r="N73" s="65">
        <v>276</v>
      </c>
      <c r="O73" s="65">
        <v>342.5</v>
      </c>
      <c r="P73" s="65">
        <v>354.7</v>
      </c>
      <c r="Q73" s="65">
        <v>337</v>
      </c>
      <c r="R73" s="65">
        <v>352</v>
      </c>
      <c r="S73" s="65">
        <v>355</v>
      </c>
      <c r="T73" s="65">
        <v>347</v>
      </c>
      <c r="U73" s="65">
        <v>364</v>
      </c>
      <c r="V73" s="65">
        <v>339</v>
      </c>
      <c r="W73" s="65">
        <v>359</v>
      </c>
      <c r="X73" s="65">
        <v>356</v>
      </c>
      <c r="Y73" s="65">
        <v>337</v>
      </c>
      <c r="Z73" s="65">
        <v>330</v>
      </c>
      <c r="AA73" s="65">
        <v>264</v>
      </c>
      <c r="AB73" s="65">
        <v>265</v>
      </c>
      <c r="AC73" s="65">
        <v>281.2</v>
      </c>
      <c r="AD73" s="65">
        <v>280</v>
      </c>
      <c r="AE73" s="65">
        <v>270</v>
      </c>
      <c r="AF73" s="65">
        <v>262</v>
      </c>
      <c r="AG73" s="75"/>
      <c r="AH73" s="47">
        <f t="shared" si="2"/>
        <v>364</v>
      </c>
      <c r="AI73" s="48">
        <f t="shared" si="3"/>
        <v>156</v>
      </c>
      <c r="AK73" s="49"/>
    </row>
    <row r="74" spans="1:40" x14ac:dyDescent="0.25">
      <c r="A74" s="53" t="s">
        <v>78</v>
      </c>
      <c r="B74" s="65">
        <v>57</v>
      </c>
      <c r="C74" s="65">
        <v>57</v>
      </c>
      <c r="D74" s="65">
        <v>57</v>
      </c>
      <c r="E74" s="76">
        <v>55.1</v>
      </c>
      <c r="F74" s="76">
        <v>55.9</v>
      </c>
      <c r="G74" s="76">
        <v>56.2</v>
      </c>
      <c r="H74" s="76">
        <v>56.6</v>
      </c>
      <c r="I74" s="76">
        <v>59.7</v>
      </c>
      <c r="J74" s="76">
        <v>66</v>
      </c>
      <c r="K74" s="76">
        <v>66.2</v>
      </c>
      <c r="L74" s="76">
        <v>60.4</v>
      </c>
      <c r="M74" s="76">
        <v>57.1</v>
      </c>
      <c r="N74" s="76">
        <v>53</v>
      </c>
      <c r="O74" s="76">
        <v>53</v>
      </c>
      <c r="P74" s="76">
        <v>53</v>
      </c>
      <c r="Q74" s="76">
        <v>53</v>
      </c>
      <c r="R74" s="76">
        <v>54</v>
      </c>
      <c r="S74" s="76">
        <v>59</v>
      </c>
      <c r="T74" s="76">
        <v>63</v>
      </c>
      <c r="U74" s="76">
        <v>65</v>
      </c>
      <c r="V74" s="76">
        <v>65</v>
      </c>
      <c r="W74" s="76">
        <v>65</v>
      </c>
      <c r="X74" s="76">
        <v>65</v>
      </c>
      <c r="Y74" s="65">
        <v>64</v>
      </c>
      <c r="Z74" s="65">
        <v>64</v>
      </c>
      <c r="AA74" s="65">
        <v>64</v>
      </c>
      <c r="AB74" s="65">
        <v>61.5</v>
      </c>
      <c r="AC74" s="65">
        <v>60.4</v>
      </c>
      <c r="AD74" s="65">
        <v>60.4</v>
      </c>
      <c r="AE74" s="65">
        <v>54</v>
      </c>
      <c r="AF74" s="65">
        <v>53</v>
      </c>
      <c r="AG74" s="75"/>
      <c r="AH74" s="47">
        <f t="shared" si="2"/>
        <v>66.2</v>
      </c>
      <c r="AI74" s="48">
        <f t="shared" si="3"/>
        <v>53</v>
      </c>
      <c r="AK74" s="49"/>
    </row>
    <row r="75" spans="1:40" x14ac:dyDescent="0.25">
      <c r="A75" s="53" t="s">
        <v>79</v>
      </c>
      <c r="B75" s="45">
        <v>88</v>
      </c>
      <c r="C75" s="45">
        <v>62</v>
      </c>
      <c r="D75" s="45">
        <v>63</v>
      </c>
      <c r="E75" s="45">
        <v>62</v>
      </c>
      <c r="F75" s="45">
        <v>64</v>
      </c>
      <c r="G75" s="45">
        <v>65</v>
      </c>
      <c r="H75" s="45">
        <v>66</v>
      </c>
      <c r="I75" s="45">
        <v>66</v>
      </c>
      <c r="J75" s="45">
        <v>66</v>
      </c>
      <c r="K75" s="45">
        <v>55</v>
      </c>
      <c r="L75" s="45">
        <v>56</v>
      </c>
      <c r="M75" s="45">
        <v>60</v>
      </c>
      <c r="N75" s="45">
        <v>84</v>
      </c>
      <c r="O75" s="45">
        <v>84</v>
      </c>
      <c r="P75" s="45">
        <v>84</v>
      </c>
      <c r="Q75" s="45">
        <v>84</v>
      </c>
      <c r="R75" s="45">
        <v>69</v>
      </c>
      <c r="S75" s="45">
        <v>75</v>
      </c>
      <c r="T75" s="45">
        <v>75</v>
      </c>
      <c r="U75" s="45">
        <v>79</v>
      </c>
      <c r="V75" s="45">
        <v>79</v>
      </c>
      <c r="W75" s="45">
        <v>79</v>
      </c>
      <c r="X75" s="45">
        <v>79</v>
      </c>
      <c r="Y75" s="45">
        <v>73</v>
      </c>
      <c r="Z75" s="45">
        <v>73</v>
      </c>
      <c r="AA75" s="45">
        <v>50</v>
      </c>
      <c r="AB75" s="45">
        <v>42</v>
      </c>
      <c r="AC75" s="45">
        <v>81.2</v>
      </c>
      <c r="AD75" s="45">
        <v>85</v>
      </c>
      <c r="AE75" s="45">
        <v>85</v>
      </c>
      <c r="AF75" s="45">
        <v>85</v>
      </c>
      <c r="AG75" s="75"/>
      <c r="AH75" s="47">
        <f t="shared" ref="AH75:AH117" si="11">MAX(B75:AF75)</f>
        <v>88</v>
      </c>
      <c r="AI75" s="48">
        <f t="shared" ref="AI75:AI117" si="12">MIN(B75:AF75)</f>
        <v>42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1"/>
        <v>5</v>
      </c>
      <c r="AI76" s="48">
        <f t="shared" si="12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1"/>
        <v>0</v>
      </c>
      <c r="AI77" s="48">
        <f t="shared" si="12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1"/>
        <v>0</v>
      </c>
      <c r="AI78" s="48">
        <f t="shared" si="12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1"/>
        <v>0</v>
      </c>
      <c r="AI79" s="48">
        <f t="shared" si="12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1"/>
        <v>0</v>
      </c>
      <c r="AI80" s="48">
        <f t="shared" si="12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1"/>
        <v>0</v>
      </c>
      <c r="AI81" s="48">
        <f t="shared" si="12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3">SUMIF(B71:B81,"&gt;0")</f>
        <v>446</v>
      </c>
      <c r="C82" s="60">
        <f t="shared" si="13"/>
        <v>339</v>
      </c>
      <c r="D82" s="60">
        <f t="shared" si="13"/>
        <v>343</v>
      </c>
      <c r="E82" s="60">
        <f t="shared" si="13"/>
        <v>348.1</v>
      </c>
      <c r="F82" s="60">
        <f t="shared" si="13"/>
        <v>355.5</v>
      </c>
      <c r="G82" s="60">
        <f t="shared" si="13"/>
        <v>421.2</v>
      </c>
      <c r="H82" s="60">
        <f t="shared" si="13"/>
        <v>416.6</v>
      </c>
      <c r="I82" s="60">
        <f t="shared" si="13"/>
        <v>425.7</v>
      </c>
      <c r="J82" s="60">
        <f t="shared" si="13"/>
        <v>448</v>
      </c>
      <c r="K82" s="60">
        <f t="shared" si="13"/>
        <v>441.2</v>
      </c>
      <c r="L82" s="60">
        <f t="shared" si="13"/>
        <v>418.4</v>
      </c>
      <c r="M82" s="60">
        <f t="shared" si="13"/>
        <v>462.3</v>
      </c>
      <c r="N82" s="60">
        <f t="shared" si="13"/>
        <v>483</v>
      </c>
      <c r="O82" s="60">
        <f t="shared" si="13"/>
        <v>545.29999999999995</v>
      </c>
      <c r="P82" s="60">
        <f t="shared" si="13"/>
        <v>563.20000000000005</v>
      </c>
      <c r="Q82" s="60">
        <f t="shared" si="13"/>
        <v>552</v>
      </c>
      <c r="R82" s="60">
        <f t="shared" si="13"/>
        <v>548.70000000000005</v>
      </c>
      <c r="S82" s="60">
        <f t="shared" si="13"/>
        <v>566.79999999999995</v>
      </c>
      <c r="T82" s="60">
        <f t="shared" si="13"/>
        <v>562.79999999999995</v>
      </c>
      <c r="U82" s="60">
        <f t="shared" si="13"/>
        <v>588</v>
      </c>
      <c r="V82" s="60">
        <f t="shared" si="13"/>
        <v>565</v>
      </c>
      <c r="W82" s="60">
        <f t="shared" si="13"/>
        <v>578.29999999999995</v>
      </c>
      <c r="X82" s="60">
        <f t="shared" si="13"/>
        <v>563.20000000000005</v>
      </c>
      <c r="Y82" s="60">
        <f t="shared" si="13"/>
        <v>547</v>
      </c>
      <c r="Z82" s="60">
        <f t="shared" si="13"/>
        <v>539</v>
      </c>
      <c r="AA82" s="60">
        <f t="shared" si="13"/>
        <v>452</v>
      </c>
      <c r="AB82" s="60">
        <f t="shared" si="13"/>
        <v>439.5</v>
      </c>
      <c r="AC82" s="60">
        <f t="shared" si="13"/>
        <v>488.9</v>
      </c>
      <c r="AD82" s="60">
        <f t="shared" si="13"/>
        <v>488.4</v>
      </c>
      <c r="AE82" s="60">
        <f t="shared" si="13"/>
        <v>475</v>
      </c>
      <c r="AF82" s="60">
        <f t="shared" si="13"/>
        <v>464</v>
      </c>
      <c r="AG82" s="88">
        <f>SUM(AG71:AG81)</f>
        <v>0</v>
      </c>
      <c r="AH82" s="47">
        <f t="shared" si="11"/>
        <v>588</v>
      </c>
      <c r="AI82" s="48">
        <f t="shared" si="12"/>
        <v>339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1"/>
        <v>0</v>
      </c>
      <c r="AI83" s="48">
        <f t="shared" si="12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1"/>
        <v>0</v>
      </c>
      <c r="AI84" s="48">
        <f t="shared" si="12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1"/>
        <v>0</v>
      </c>
      <c r="AI85" s="48">
        <f t="shared" si="12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1"/>
        <v>0</v>
      </c>
      <c r="AI86" s="48">
        <f t="shared" si="12"/>
        <v>0</v>
      </c>
    </row>
    <row r="87" spans="1:40" ht="15.75" thickBot="1" x14ac:dyDescent="0.3">
      <c r="A87" s="74" t="s">
        <v>94</v>
      </c>
      <c r="B87" s="95">
        <f t="shared" ref="B87:AG87" si="14">B48+B52+B70+B66+B82+B86</f>
        <v>1045.54</v>
      </c>
      <c r="C87" s="95">
        <f t="shared" si="14"/>
        <v>978.54</v>
      </c>
      <c r="D87" s="95">
        <f t="shared" si="14"/>
        <v>966.94</v>
      </c>
      <c r="E87" s="95">
        <f t="shared" si="14"/>
        <v>968.04000000000008</v>
      </c>
      <c r="F87" s="95">
        <f t="shared" si="14"/>
        <v>954.34</v>
      </c>
      <c r="G87" s="95">
        <f t="shared" si="14"/>
        <v>984.44</v>
      </c>
      <c r="H87" s="95">
        <f t="shared" si="14"/>
        <v>1063.6399999999999</v>
      </c>
      <c r="I87" s="95">
        <f t="shared" si="14"/>
        <v>1111.8400000000001</v>
      </c>
      <c r="J87" s="95">
        <f t="shared" si="14"/>
        <v>1283.8400000000001</v>
      </c>
      <c r="K87" s="95">
        <f t="shared" si="14"/>
        <v>1306.94</v>
      </c>
      <c r="L87" s="95">
        <f t="shared" si="14"/>
        <v>1341.44</v>
      </c>
      <c r="M87" s="95">
        <f t="shared" si="14"/>
        <v>1333.54</v>
      </c>
      <c r="N87" s="95">
        <f t="shared" si="14"/>
        <v>1263.24</v>
      </c>
      <c r="O87" s="95">
        <f t="shared" si="14"/>
        <v>1200.24</v>
      </c>
      <c r="P87" s="95">
        <f t="shared" si="14"/>
        <v>1198.1400000000001</v>
      </c>
      <c r="Q87" s="95">
        <f t="shared" si="14"/>
        <v>1221.24</v>
      </c>
      <c r="R87" s="95">
        <f t="shared" si="14"/>
        <v>1203.24</v>
      </c>
      <c r="S87" s="95">
        <f t="shared" si="14"/>
        <v>1222.74</v>
      </c>
      <c r="T87" s="95">
        <f t="shared" si="14"/>
        <v>1230.8399999999999</v>
      </c>
      <c r="U87" s="95">
        <f t="shared" si="14"/>
        <v>1276.04</v>
      </c>
      <c r="V87" s="95">
        <f t="shared" si="14"/>
        <v>1261.04</v>
      </c>
      <c r="W87" s="95">
        <f t="shared" si="14"/>
        <v>1255.8399999999999</v>
      </c>
      <c r="X87" s="95">
        <f t="shared" si="14"/>
        <v>1277.04</v>
      </c>
      <c r="Y87" s="95">
        <f t="shared" si="14"/>
        <v>1427.44</v>
      </c>
      <c r="Z87" s="95">
        <f t="shared" si="14"/>
        <v>1421.44</v>
      </c>
      <c r="AA87" s="95">
        <f t="shared" si="14"/>
        <v>1331.7400000000002</v>
      </c>
      <c r="AB87" s="95">
        <f t="shared" si="14"/>
        <v>1261.1400000000001</v>
      </c>
      <c r="AC87" s="95">
        <f t="shared" si="14"/>
        <v>1303.3399999999999</v>
      </c>
      <c r="AD87" s="95">
        <f t="shared" si="14"/>
        <v>1260.04</v>
      </c>
      <c r="AE87" s="95">
        <f t="shared" si="14"/>
        <v>1147.04</v>
      </c>
      <c r="AF87" s="95">
        <f t="shared" si="14"/>
        <v>1064.04</v>
      </c>
      <c r="AG87" s="61">
        <f t="shared" si="14"/>
        <v>2065.09</v>
      </c>
      <c r="AH87" s="47">
        <f>MAX(B87:AF87)</f>
        <v>1427.44</v>
      </c>
      <c r="AI87" s="48">
        <f>MIN(B87:AF87)</f>
        <v>954.34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>
        <v>100</v>
      </c>
      <c r="N88" s="97">
        <v>120</v>
      </c>
      <c r="O88" s="97">
        <v>120</v>
      </c>
      <c r="P88" s="97">
        <v>120</v>
      </c>
      <c r="Q88" s="97">
        <v>120</v>
      </c>
      <c r="R88" s="97">
        <v>120</v>
      </c>
      <c r="S88" s="97">
        <v>120</v>
      </c>
      <c r="T88" s="97">
        <v>120</v>
      </c>
      <c r="U88" s="97">
        <v>120</v>
      </c>
      <c r="V88" s="97">
        <v>120</v>
      </c>
      <c r="W88" s="97">
        <v>120</v>
      </c>
      <c r="X88" s="97">
        <v>120</v>
      </c>
      <c r="Y88" s="97">
        <v>150</v>
      </c>
      <c r="Z88" s="97">
        <v>150</v>
      </c>
      <c r="AA88" s="97">
        <v>120</v>
      </c>
      <c r="AB88" s="97">
        <v>70</v>
      </c>
      <c r="AC88" s="97">
        <v>70</v>
      </c>
      <c r="AD88" s="97">
        <v>0</v>
      </c>
      <c r="AE88" s="97">
        <v>0</v>
      </c>
      <c r="AF88" s="97"/>
      <c r="AG88" s="88"/>
      <c r="AH88" s="47">
        <f t="shared" si="11"/>
        <v>150</v>
      </c>
      <c r="AI88" s="48">
        <f t="shared" si="12"/>
        <v>0</v>
      </c>
    </row>
    <row r="89" spans="1:40" ht="15.75" thickBot="1" x14ac:dyDescent="0.3">
      <c r="A89" s="74" t="s">
        <v>96</v>
      </c>
      <c r="B89" s="95">
        <f t="shared" ref="B89:AF89" si="15">B87+B88</f>
        <v>1045.54</v>
      </c>
      <c r="C89" s="95">
        <f t="shared" si="15"/>
        <v>978.54</v>
      </c>
      <c r="D89" s="95">
        <f t="shared" si="15"/>
        <v>966.94</v>
      </c>
      <c r="E89" s="95">
        <f t="shared" si="15"/>
        <v>968.04000000000008</v>
      </c>
      <c r="F89" s="95">
        <f t="shared" si="15"/>
        <v>954.34</v>
      </c>
      <c r="G89" s="95">
        <f t="shared" si="15"/>
        <v>984.44</v>
      </c>
      <c r="H89" s="95">
        <f t="shared" si="15"/>
        <v>1063.6399999999999</v>
      </c>
      <c r="I89" s="95">
        <f t="shared" si="15"/>
        <v>1111.8400000000001</v>
      </c>
      <c r="J89" s="95">
        <f t="shared" si="15"/>
        <v>1283.8400000000001</v>
      </c>
      <c r="K89" s="95">
        <f t="shared" si="15"/>
        <v>1306.94</v>
      </c>
      <c r="L89" s="95">
        <f t="shared" si="15"/>
        <v>1341.44</v>
      </c>
      <c r="M89" s="95">
        <f t="shared" si="15"/>
        <v>1433.54</v>
      </c>
      <c r="N89" s="95">
        <f t="shared" si="15"/>
        <v>1383.24</v>
      </c>
      <c r="O89" s="95">
        <f t="shared" si="15"/>
        <v>1320.24</v>
      </c>
      <c r="P89" s="95">
        <f t="shared" si="15"/>
        <v>1318.14</v>
      </c>
      <c r="Q89" s="95">
        <f t="shared" si="15"/>
        <v>1341.24</v>
      </c>
      <c r="R89" s="95">
        <f t="shared" si="15"/>
        <v>1323.24</v>
      </c>
      <c r="S89" s="95">
        <f t="shared" si="15"/>
        <v>1342.74</v>
      </c>
      <c r="T89" s="95">
        <f t="shared" si="15"/>
        <v>1350.84</v>
      </c>
      <c r="U89" s="95">
        <f t="shared" si="15"/>
        <v>1396.04</v>
      </c>
      <c r="V89" s="95">
        <f t="shared" si="15"/>
        <v>1381.04</v>
      </c>
      <c r="W89" s="95">
        <f t="shared" si="15"/>
        <v>1375.84</v>
      </c>
      <c r="X89" s="95">
        <f t="shared" si="15"/>
        <v>1397.04</v>
      </c>
      <c r="Y89" s="95">
        <f t="shared" si="15"/>
        <v>1577.44</v>
      </c>
      <c r="Z89" s="95">
        <f t="shared" si="15"/>
        <v>1571.44</v>
      </c>
      <c r="AA89" s="95">
        <f t="shared" si="15"/>
        <v>1451.7400000000002</v>
      </c>
      <c r="AB89" s="95">
        <f t="shared" si="15"/>
        <v>1331.14</v>
      </c>
      <c r="AC89" s="95">
        <f t="shared" si="15"/>
        <v>1373.34</v>
      </c>
      <c r="AD89" s="95">
        <f t="shared" si="15"/>
        <v>1260.04</v>
      </c>
      <c r="AE89" s="95">
        <f t="shared" si="15"/>
        <v>1147.04</v>
      </c>
      <c r="AF89" s="95">
        <f t="shared" si="15"/>
        <v>1064.04</v>
      </c>
      <c r="AG89" s="88">
        <f>AG86+AG82+AG70+AG66+AG48+AG88</f>
        <v>1526.99</v>
      </c>
      <c r="AH89" s="47">
        <f t="shared" si="11"/>
        <v>1577.44</v>
      </c>
      <c r="AI89" s="48">
        <f t="shared" si="12"/>
        <v>954.34</v>
      </c>
    </row>
    <row r="90" spans="1:40" ht="15.75" thickBot="1" x14ac:dyDescent="0.3">
      <c r="A90" s="74" t="s">
        <v>97</v>
      </c>
      <c r="B90" s="95">
        <f t="shared" ref="B90:AF90" si="16">B89-B97</f>
        <v>1045.54</v>
      </c>
      <c r="C90" s="95">
        <f t="shared" si="16"/>
        <v>978.54</v>
      </c>
      <c r="D90" s="95">
        <f t="shared" si="16"/>
        <v>966.94</v>
      </c>
      <c r="E90" s="95">
        <f t="shared" si="16"/>
        <v>968.04000000000008</v>
      </c>
      <c r="F90" s="95">
        <f t="shared" si="16"/>
        <v>954.34</v>
      </c>
      <c r="G90" s="95">
        <f t="shared" si="16"/>
        <v>984.44</v>
      </c>
      <c r="H90" s="95">
        <f t="shared" si="16"/>
        <v>1063.6399999999999</v>
      </c>
      <c r="I90" s="95">
        <f t="shared" si="16"/>
        <v>1111.8400000000001</v>
      </c>
      <c r="J90" s="95">
        <f t="shared" si="16"/>
        <v>1283.8400000000001</v>
      </c>
      <c r="K90" s="95">
        <f t="shared" si="16"/>
        <v>1306.94</v>
      </c>
      <c r="L90" s="95">
        <f t="shared" si="16"/>
        <v>1341.44</v>
      </c>
      <c r="M90" s="95">
        <f t="shared" si="16"/>
        <v>1433.54</v>
      </c>
      <c r="N90" s="95">
        <f t="shared" si="16"/>
        <v>1383.24</v>
      </c>
      <c r="O90" s="95">
        <f t="shared" si="16"/>
        <v>1320.24</v>
      </c>
      <c r="P90" s="95">
        <f t="shared" si="16"/>
        <v>1318.14</v>
      </c>
      <c r="Q90" s="95">
        <f t="shared" si="16"/>
        <v>1341.24</v>
      </c>
      <c r="R90" s="95">
        <f t="shared" si="16"/>
        <v>1323.24</v>
      </c>
      <c r="S90" s="95">
        <f t="shared" si="16"/>
        <v>1342.74</v>
      </c>
      <c r="T90" s="95">
        <f t="shared" si="16"/>
        <v>1350.84</v>
      </c>
      <c r="U90" s="95">
        <f t="shared" si="16"/>
        <v>1396.04</v>
      </c>
      <c r="V90" s="95">
        <f t="shared" si="16"/>
        <v>1381.04</v>
      </c>
      <c r="W90" s="95">
        <f t="shared" si="16"/>
        <v>1375.84</v>
      </c>
      <c r="X90" s="95">
        <f t="shared" si="16"/>
        <v>1397.04</v>
      </c>
      <c r="Y90" s="95">
        <f t="shared" si="16"/>
        <v>1577.44</v>
      </c>
      <c r="Z90" s="95">
        <f t="shared" si="16"/>
        <v>1571.44</v>
      </c>
      <c r="AA90" s="95">
        <f t="shared" si="16"/>
        <v>1451.7400000000002</v>
      </c>
      <c r="AB90" s="95">
        <f t="shared" si="16"/>
        <v>1331.14</v>
      </c>
      <c r="AC90" s="95">
        <f t="shared" si="16"/>
        <v>1373.34</v>
      </c>
      <c r="AD90" s="95">
        <f t="shared" si="16"/>
        <v>1260.04</v>
      </c>
      <c r="AE90" s="95">
        <f t="shared" si="16"/>
        <v>1147.04</v>
      </c>
      <c r="AF90" s="95">
        <f t="shared" si="16"/>
        <v>1064.04</v>
      </c>
      <c r="AG90" s="88"/>
      <c r="AH90" s="47">
        <f t="shared" si="11"/>
        <v>1577.44</v>
      </c>
      <c r="AI90" s="48">
        <f t="shared" si="12"/>
        <v>954.34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1"/>
        <v>0</v>
      </c>
      <c r="AI91" s="48">
        <f t="shared" si="12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1"/>
        <v>0</v>
      </c>
      <c r="AI92" s="48">
        <f t="shared" si="12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1"/>
        <v>0</v>
      </c>
      <c r="AI93" s="48">
        <f t="shared" si="12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1"/>
        <v>0</v>
      </c>
      <c r="AI94" s="48">
        <f t="shared" si="12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1"/>
        <v>0</v>
      </c>
      <c r="AI95" s="48">
        <f t="shared" si="12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1"/>
        <v>0</v>
      </c>
      <c r="AI96" s="48">
        <f t="shared" si="12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1"/>
        <v>0</v>
      </c>
      <c r="AI97" s="48">
        <f t="shared" si="12"/>
        <v>0</v>
      </c>
      <c r="AK97" s="49"/>
    </row>
    <row r="98" spans="1:37" ht="15.75" thickBot="1" x14ac:dyDescent="0.3">
      <c r="A98" s="74" t="s">
        <v>102</v>
      </c>
      <c r="B98" s="60">
        <f t="shared" ref="B98:AF98" si="17">B82-B97</f>
        <v>446</v>
      </c>
      <c r="C98" s="60">
        <f t="shared" si="17"/>
        <v>339</v>
      </c>
      <c r="D98" s="60">
        <f t="shared" si="17"/>
        <v>343</v>
      </c>
      <c r="E98" s="60">
        <f t="shared" si="17"/>
        <v>348.1</v>
      </c>
      <c r="F98" s="60">
        <f t="shared" si="17"/>
        <v>355.5</v>
      </c>
      <c r="G98" s="60">
        <f t="shared" si="17"/>
        <v>421.2</v>
      </c>
      <c r="H98" s="60">
        <f t="shared" si="17"/>
        <v>416.6</v>
      </c>
      <c r="I98" s="60">
        <f t="shared" si="17"/>
        <v>425.7</v>
      </c>
      <c r="J98" s="60">
        <f t="shared" si="17"/>
        <v>448</v>
      </c>
      <c r="K98" s="60">
        <f t="shared" si="17"/>
        <v>441.2</v>
      </c>
      <c r="L98" s="60">
        <f t="shared" si="17"/>
        <v>418.4</v>
      </c>
      <c r="M98" s="60">
        <f t="shared" si="17"/>
        <v>462.3</v>
      </c>
      <c r="N98" s="60">
        <f t="shared" si="17"/>
        <v>483</v>
      </c>
      <c r="O98" s="60">
        <f t="shared" si="17"/>
        <v>545.29999999999995</v>
      </c>
      <c r="P98" s="60">
        <f t="shared" si="17"/>
        <v>563.20000000000005</v>
      </c>
      <c r="Q98" s="60">
        <f t="shared" si="17"/>
        <v>552</v>
      </c>
      <c r="R98" s="60">
        <f t="shared" si="17"/>
        <v>548.70000000000005</v>
      </c>
      <c r="S98" s="60">
        <f t="shared" si="17"/>
        <v>566.79999999999995</v>
      </c>
      <c r="T98" s="60">
        <f t="shared" si="17"/>
        <v>562.79999999999995</v>
      </c>
      <c r="U98" s="60">
        <f t="shared" si="17"/>
        <v>588</v>
      </c>
      <c r="V98" s="60">
        <f t="shared" si="17"/>
        <v>565</v>
      </c>
      <c r="W98" s="60">
        <f t="shared" si="17"/>
        <v>578.29999999999995</v>
      </c>
      <c r="X98" s="60">
        <f t="shared" si="17"/>
        <v>563.20000000000005</v>
      </c>
      <c r="Y98" s="60">
        <f t="shared" si="17"/>
        <v>547</v>
      </c>
      <c r="Z98" s="60">
        <f t="shared" si="17"/>
        <v>539</v>
      </c>
      <c r="AA98" s="60">
        <f t="shared" si="17"/>
        <v>452</v>
      </c>
      <c r="AB98" s="60">
        <f t="shared" si="17"/>
        <v>439.5</v>
      </c>
      <c r="AC98" s="60">
        <f t="shared" si="17"/>
        <v>488.9</v>
      </c>
      <c r="AD98" s="60">
        <f t="shared" si="17"/>
        <v>488.4</v>
      </c>
      <c r="AE98" s="60">
        <f t="shared" si="17"/>
        <v>475</v>
      </c>
      <c r="AF98" s="60">
        <f t="shared" si="17"/>
        <v>464</v>
      </c>
      <c r="AG98" s="88"/>
      <c r="AH98" s="47">
        <f t="shared" si="11"/>
        <v>588</v>
      </c>
      <c r="AI98" s="48">
        <f t="shared" si="12"/>
        <v>339</v>
      </c>
    </row>
    <row r="99" spans="1:37" x14ac:dyDescent="0.25">
      <c r="A99" s="100" t="s">
        <v>103</v>
      </c>
      <c r="B99" s="101">
        <v>49.96</v>
      </c>
      <c r="C99" s="101">
        <v>49.890999999999998</v>
      </c>
      <c r="D99" s="101">
        <v>49.87</v>
      </c>
      <c r="E99" s="101">
        <v>50.021000000000001</v>
      </c>
      <c r="F99" s="101">
        <v>50.05</v>
      </c>
      <c r="G99" s="101">
        <v>49.938000000000002</v>
      </c>
      <c r="H99" s="101">
        <v>49.963000000000001</v>
      </c>
      <c r="I99" s="101">
        <v>49.97</v>
      </c>
      <c r="J99" s="101">
        <v>49.97</v>
      </c>
      <c r="K99" s="101">
        <v>49.942</v>
      </c>
      <c r="L99" s="101">
        <v>50.012999999999998</v>
      </c>
      <c r="M99" s="101">
        <v>50.055</v>
      </c>
      <c r="N99" s="101">
        <v>50.08</v>
      </c>
      <c r="O99" s="101">
        <v>50.073</v>
      </c>
      <c r="P99" s="101">
        <v>50.04</v>
      </c>
      <c r="Q99" s="101">
        <v>49.917999999999999</v>
      </c>
      <c r="R99" s="101">
        <v>49.970999999999997</v>
      </c>
      <c r="S99" s="101">
        <v>50.094999999999999</v>
      </c>
      <c r="T99" s="101">
        <v>50</v>
      </c>
      <c r="U99" s="101">
        <v>49.91</v>
      </c>
      <c r="V99" s="101">
        <v>49.927</v>
      </c>
      <c r="W99" s="101">
        <v>50.067999999999998</v>
      </c>
      <c r="X99" s="101">
        <v>50.015000000000001</v>
      </c>
      <c r="Y99" s="101">
        <v>50.088999999999999</v>
      </c>
      <c r="Z99" s="101">
        <v>49.991</v>
      </c>
      <c r="AA99" s="101">
        <v>50.031999999999996</v>
      </c>
      <c r="AB99" s="101">
        <v>49.95</v>
      </c>
      <c r="AC99" s="101">
        <v>49.94</v>
      </c>
      <c r="AD99" s="101">
        <v>49.94</v>
      </c>
      <c r="AE99" s="101">
        <v>49.94</v>
      </c>
      <c r="AF99" s="101">
        <v>49.91</v>
      </c>
      <c r="AG99" s="102"/>
      <c r="AH99" s="47">
        <f t="shared" si="11"/>
        <v>50.094999999999999</v>
      </c>
      <c r="AI99" s="48">
        <f t="shared" si="12"/>
        <v>49.87</v>
      </c>
    </row>
    <row r="100" spans="1:37" x14ac:dyDescent="0.25">
      <c r="A100" s="103" t="s">
        <v>104</v>
      </c>
      <c r="B100" s="65">
        <v>131.80000000000001</v>
      </c>
      <c r="C100" s="65">
        <v>132.30000000000001</v>
      </c>
      <c r="D100" s="65">
        <v>131.80000000000001</v>
      </c>
      <c r="E100" s="65">
        <v>132.5</v>
      </c>
      <c r="F100" s="65">
        <v>132.30000000000001</v>
      </c>
      <c r="G100" s="65">
        <v>132</v>
      </c>
      <c r="H100" s="65">
        <v>129.80000000000001</v>
      </c>
      <c r="I100" s="65">
        <v>128.30000000000001</v>
      </c>
      <c r="J100" s="65">
        <v>128.30000000000001</v>
      </c>
      <c r="K100" s="65">
        <v>128.5</v>
      </c>
      <c r="L100" s="65">
        <v>127.3</v>
      </c>
      <c r="M100" s="65">
        <v>128.6</v>
      </c>
      <c r="N100" s="65">
        <v>126.7</v>
      </c>
      <c r="O100" s="65">
        <v>125.3</v>
      </c>
      <c r="P100" s="65">
        <v>124.7</v>
      </c>
      <c r="Q100" s="65">
        <v>126.3</v>
      </c>
      <c r="R100" s="65">
        <v>126</v>
      </c>
      <c r="S100" s="65">
        <v>126</v>
      </c>
      <c r="T100" s="65">
        <v>126.5</v>
      </c>
      <c r="U100" s="65">
        <v>126.5</v>
      </c>
      <c r="V100" s="65">
        <v>127.4</v>
      </c>
      <c r="W100" s="65">
        <v>129.19999999999999</v>
      </c>
      <c r="X100" s="65">
        <v>130</v>
      </c>
      <c r="Y100" s="65">
        <v>129.30000000000001</v>
      </c>
      <c r="Z100" s="65">
        <v>129.30000000000001</v>
      </c>
      <c r="AA100" s="65">
        <v>130.19999999999999</v>
      </c>
      <c r="AB100" s="65">
        <v>130.5</v>
      </c>
      <c r="AC100" s="65">
        <v>128.5</v>
      </c>
      <c r="AD100" s="65">
        <v>128.5</v>
      </c>
      <c r="AE100" s="65">
        <v>128.5</v>
      </c>
      <c r="AF100" s="65">
        <v>1296</v>
      </c>
      <c r="AG100" s="104"/>
      <c r="AH100" s="47">
        <f t="shared" si="11"/>
        <v>1296</v>
      </c>
      <c r="AI100" s="48">
        <f t="shared" si="12"/>
        <v>124.7</v>
      </c>
    </row>
    <row r="101" spans="1:37" x14ac:dyDescent="0.25">
      <c r="A101" s="103" t="s">
        <v>105</v>
      </c>
      <c r="B101" s="65">
        <v>134.19999999999999</v>
      </c>
      <c r="C101" s="65">
        <v>134.69999999999999</v>
      </c>
      <c r="D101" s="65">
        <v>134.30000000000001</v>
      </c>
      <c r="E101" s="65">
        <v>134.69999999999999</v>
      </c>
      <c r="F101" s="65">
        <v>134.80000000000001</v>
      </c>
      <c r="G101" s="65">
        <v>134.6</v>
      </c>
      <c r="H101" s="65">
        <v>132.30000000000001</v>
      </c>
      <c r="I101" s="65">
        <v>130.80000000000001</v>
      </c>
      <c r="J101" s="65">
        <v>130.80000000000001</v>
      </c>
      <c r="K101" s="65">
        <v>130.69999999999999</v>
      </c>
      <c r="L101" s="65">
        <v>129.9</v>
      </c>
      <c r="M101" s="65">
        <v>129.80000000000001</v>
      </c>
      <c r="N101" s="65">
        <v>129</v>
      </c>
      <c r="O101" s="65">
        <v>128</v>
      </c>
      <c r="P101" s="65">
        <v>127</v>
      </c>
      <c r="Q101" s="65">
        <v>128.9</v>
      </c>
      <c r="R101" s="65">
        <v>129</v>
      </c>
      <c r="S101" s="65">
        <v>128.80000000000001</v>
      </c>
      <c r="T101" s="65">
        <v>129.19999999999999</v>
      </c>
      <c r="U101" s="65">
        <v>129.19999999999999</v>
      </c>
      <c r="V101" s="65">
        <v>129.80000000000001</v>
      </c>
      <c r="W101" s="65">
        <v>131</v>
      </c>
      <c r="X101" s="65">
        <v>132</v>
      </c>
      <c r="Y101" s="65">
        <v>130.80000000000001</v>
      </c>
      <c r="Z101" s="65">
        <v>130.9</v>
      </c>
      <c r="AA101" s="65">
        <v>131.80000000000001</v>
      </c>
      <c r="AB101" s="65">
        <v>132.4</v>
      </c>
      <c r="AC101" s="65">
        <v>131.1</v>
      </c>
      <c r="AD101" s="65">
        <v>131.1</v>
      </c>
      <c r="AE101" s="65">
        <v>131.1</v>
      </c>
      <c r="AF101" s="65">
        <v>131.6</v>
      </c>
      <c r="AG101" s="104"/>
      <c r="AH101" s="47">
        <f t="shared" si="11"/>
        <v>134.80000000000001</v>
      </c>
      <c r="AI101" s="48">
        <f t="shared" si="12"/>
        <v>127</v>
      </c>
    </row>
    <row r="102" spans="1:37" x14ac:dyDescent="0.25">
      <c r="A102" s="103" t="s">
        <v>106</v>
      </c>
      <c r="B102" s="65">
        <v>129.69999999999999</v>
      </c>
      <c r="C102" s="65">
        <v>133.30000000000001</v>
      </c>
      <c r="D102" s="65">
        <v>129.69999999999999</v>
      </c>
      <c r="E102" s="65">
        <v>132</v>
      </c>
      <c r="F102" s="65">
        <v>134.69999999999999</v>
      </c>
      <c r="G102" s="65">
        <v>127.4</v>
      </c>
      <c r="H102" s="65">
        <v>127.4</v>
      </c>
      <c r="I102" s="65">
        <v>127.2</v>
      </c>
      <c r="J102" s="65">
        <v>127.2</v>
      </c>
      <c r="K102" s="65">
        <v>126.4</v>
      </c>
      <c r="L102" s="65">
        <v>128.19999999999999</v>
      </c>
      <c r="M102" s="65">
        <v>129.80000000000001</v>
      </c>
      <c r="N102" s="65">
        <v>126.3</v>
      </c>
      <c r="O102" s="65">
        <v>129.9</v>
      </c>
      <c r="P102" s="65">
        <v>126.1</v>
      </c>
      <c r="Q102" s="65">
        <v>129.69999999999999</v>
      </c>
      <c r="R102" s="65">
        <v>124</v>
      </c>
      <c r="S102" s="65">
        <v>125.9</v>
      </c>
      <c r="T102" s="65">
        <v>127.8</v>
      </c>
      <c r="U102" s="65">
        <v>127.8</v>
      </c>
      <c r="V102" s="65">
        <v>128.6</v>
      </c>
      <c r="W102" s="65">
        <v>127.2</v>
      </c>
      <c r="X102" s="65">
        <v>130</v>
      </c>
      <c r="Y102" s="65">
        <v>127.3</v>
      </c>
      <c r="Z102" s="65">
        <v>132.4</v>
      </c>
      <c r="AA102" s="65">
        <v>131</v>
      </c>
      <c r="AB102" s="65">
        <v>129.69999999999999</v>
      </c>
      <c r="AC102" s="65">
        <v>127.5</v>
      </c>
      <c r="AD102" s="65">
        <v>127.5</v>
      </c>
      <c r="AE102" s="65">
        <v>127.5</v>
      </c>
      <c r="AF102" s="65">
        <v>130</v>
      </c>
      <c r="AG102" s="104"/>
      <c r="AH102" s="47">
        <f t="shared" si="11"/>
        <v>134.69999999999999</v>
      </c>
      <c r="AI102" s="48">
        <f t="shared" si="12"/>
        <v>124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1"/>
        <v>0</v>
      </c>
      <c r="AI103" s="48">
        <f t="shared" si="12"/>
        <v>0</v>
      </c>
    </row>
    <row r="104" spans="1:37" x14ac:dyDescent="0.25">
      <c r="A104" s="105" t="s">
        <v>108</v>
      </c>
      <c r="B104" s="106">
        <v>135.5</v>
      </c>
      <c r="C104" s="106">
        <v>135.5</v>
      </c>
      <c r="D104" s="106">
        <v>134.1</v>
      </c>
      <c r="E104" s="106">
        <v>134.9</v>
      </c>
      <c r="F104" s="106">
        <v>135.5</v>
      </c>
      <c r="G104" s="106">
        <v>137</v>
      </c>
      <c r="H104" s="106">
        <v>131.80000000000001</v>
      </c>
      <c r="I104" s="106">
        <v>131.9</v>
      </c>
      <c r="J104" s="106">
        <v>131.9</v>
      </c>
      <c r="K104" s="106">
        <v>134.6</v>
      </c>
      <c r="L104" s="106">
        <v>133.69999999999999</v>
      </c>
      <c r="M104" s="106">
        <v>136.9</v>
      </c>
      <c r="N104" s="106">
        <v>134.5</v>
      </c>
      <c r="O104" s="106">
        <v>134.80000000000001</v>
      </c>
      <c r="P104" s="106">
        <v>134.80000000000001</v>
      </c>
      <c r="Q104" s="106">
        <v>135.80000000000001</v>
      </c>
      <c r="R104" s="106">
        <v>135.6</v>
      </c>
      <c r="S104" s="106">
        <v>136</v>
      </c>
      <c r="T104" s="106">
        <v>136.1</v>
      </c>
      <c r="U104" s="106">
        <v>136.1</v>
      </c>
      <c r="V104" s="106">
        <v>135.9</v>
      </c>
      <c r="W104" s="106">
        <v>135.6</v>
      </c>
      <c r="X104" s="106">
        <v>134</v>
      </c>
      <c r="Y104" s="106">
        <v>133.5</v>
      </c>
      <c r="Z104" s="106">
        <v>136.19999999999999</v>
      </c>
      <c r="AA104" s="106">
        <v>135</v>
      </c>
      <c r="AB104" s="106">
        <v>135.9</v>
      </c>
      <c r="AC104" s="106">
        <v>131.9</v>
      </c>
      <c r="AD104" s="106">
        <v>131.9</v>
      </c>
      <c r="AE104" s="106">
        <v>131.9</v>
      </c>
      <c r="AF104" s="106">
        <v>130</v>
      </c>
      <c r="AG104" s="107"/>
      <c r="AH104" s="47">
        <f t="shared" si="11"/>
        <v>137</v>
      </c>
      <c r="AI104" s="48">
        <f t="shared" si="12"/>
        <v>130</v>
      </c>
    </row>
    <row r="105" spans="1:37" x14ac:dyDescent="0.25">
      <c r="A105" s="103" t="s">
        <v>109</v>
      </c>
      <c r="B105" s="65">
        <v>133.69999999999999</v>
      </c>
      <c r="C105" s="65">
        <v>135.30000000000001</v>
      </c>
      <c r="D105" s="65">
        <v>138.19999999999999</v>
      </c>
      <c r="E105" s="65">
        <v>135.5</v>
      </c>
      <c r="F105" s="65">
        <v>135.69999999999999</v>
      </c>
      <c r="G105" s="65">
        <v>134.30000000000001</v>
      </c>
      <c r="H105" s="65">
        <v>137.4</v>
      </c>
      <c r="I105" s="65">
        <v>134</v>
      </c>
      <c r="J105" s="65">
        <v>134</v>
      </c>
      <c r="K105" s="65">
        <v>131.19999999999999</v>
      </c>
      <c r="L105" s="65">
        <v>129.4</v>
      </c>
      <c r="M105" s="65">
        <v>130.69999999999999</v>
      </c>
      <c r="N105" s="65">
        <v>130.19999999999999</v>
      </c>
      <c r="O105" s="65">
        <v>134.6</v>
      </c>
      <c r="P105" s="65">
        <v>125</v>
      </c>
      <c r="Q105" s="65">
        <v>129.19999999999999</v>
      </c>
      <c r="R105" s="65">
        <v>131</v>
      </c>
      <c r="S105" s="65">
        <v>132.80000000000001</v>
      </c>
      <c r="T105" s="65">
        <v>132.9</v>
      </c>
      <c r="U105" s="65">
        <v>132.9</v>
      </c>
      <c r="V105" s="65">
        <v>132.30000000000001</v>
      </c>
      <c r="W105" s="65">
        <v>133.19999999999999</v>
      </c>
      <c r="X105" s="65">
        <v>136</v>
      </c>
      <c r="Y105" s="65">
        <v>126.4</v>
      </c>
      <c r="Z105" s="65">
        <v>129.30000000000001</v>
      </c>
      <c r="AA105" s="65">
        <v>131</v>
      </c>
      <c r="AB105" s="65">
        <v>134.80000000000001</v>
      </c>
      <c r="AC105" s="65">
        <v>130.6</v>
      </c>
      <c r="AD105" s="65">
        <v>130.6</v>
      </c>
      <c r="AE105" s="65">
        <v>130.6</v>
      </c>
      <c r="AF105" s="65">
        <v>132</v>
      </c>
      <c r="AG105" s="104"/>
      <c r="AH105" s="47">
        <f t="shared" si="11"/>
        <v>138.19999999999999</v>
      </c>
      <c r="AI105" s="48">
        <f t="shared" si="12"/>
        <v>125</v>
      </c>
    </row>
    <row r="106" spans="1:37" ht="15.75" thickBot="1" x14ac:dyDescent="0.3">
      <c r="A106" s="103" t="s">
        <v>110</v>
      </c>
      <c r="B106" s="92">
        <v>67.400000000000006</v>
      </c>
      <c r="C106" s="92">
        <v>67.7</v>
      </c>
      <c r="D106" s="92">
        <v>67.5</v>
      </c>
      <c r="E106" s="92">
        <v>67.8</v>
      </c>
      <c r="F106" s="92">
        <v>67.7</v>
      </c>
      <c r="G106" s="92">
        <v>67.599999999999994</v>
      </c>
      <c r="H106" s="92">
        <v>66.3</v>
      </c>
      <c r="I106" s="92">
        <v>65.5</v>
      </c>
      <c r="J106" s="92">
        <v>65.5</v>
      </c>
      <c r="K106" s="92">
        <v>65.7</v>
      </c>
      <c r="L106" s="92">
        <v>65.2</v>
      </c>
      <c r="M106" s="92">
        <v>65.099999999999994</v>
      </c>
      <c r="N106" s="92">
        <v>64.7</v>
      </c>
      <c r="O106" s="92">
        <v>64.7</v>
      </c>
      <c r="P106" s="92">
        <v>64.7</v>
      </c>
      <c r="Q106" s="92">
        <v>64.7</v>
      </c>
      <c r="R106" s="92">
        <v>64.7</v>
      </c>
      <c r="S106" s="92">
        <v>64.599999999999994</v>
      </c>
      <c r="T106" s="92">
        <v>64.8</v>
      </c>
      <c r="U106" s="92">
        <v>64.8</v>
      </c>
      <c r="V106" s="92">
        <v>65.099999999999994</v>
      </c>
      <c r="W106" s="92">
        <v>65.599999999999994</v>
      </c>
      <c r="X106" s="92">
        <v>66</v>
      </c>
      <c r="Y106" s="92">
        <v>65.599999999999994</v>
      </c>
      <c r="Z106" s="92">
        <v>65.599999999999994</v>
      </c>
      <c r="AA106" s="92">
        <v>66.3</v>
      </c>
      <c r="AB106" s="92">
        <v>66.400000000000006</v>
      </c>
      <c r="AC106" s="92">
        <v>65.7</v>
      </c>
      <c r="AD106" s="92">
        <v>65.7</v>
      </c>
      <c r="AE106" s="92">
        <v>65.7</v>
      </c>
      <c r="AF106" s="92">
        <v>66</v>
      </c>
      <c r="AG106" s="108"/>
      <c r="AH106" s="47">
        <f t="shared" si="11"/>
        <v>67.8</v>
      </c>
      <c r="AI106" s="48">
        <f t="shared" si="12"/>
        <v>64.599999999999994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1"/>
        <v>0</v>
      </c>
      <c r="AI107" s="48">
        <f t="shared" si="12"/>
        <v>0</v>
      </c>
    </row>
    <row r="108" spans="1:37" ht="15.75" thickBot="1" x14ac:dyDescent="0.3">
      <c r="A108" s="110" t="s">
        <v>112</v>
      </c>
      <c r="B108" s="111">
        <f t="shared" ref="B108:AF108" si="18">SUM(B18,B24,B27:B28,B56,B58:B59,B61,B63,B109:B113,B135,B141,B147,B156,B158,B170,B177,B180:B181,B188,B190,B192,B196:B198,B200:B202,B207,B213:B214,B216:B218,B226,B231)</f>
        <v>127.29999999999998</v>
      </c>
      <c r="C108" s="111">
        <f t="shared" si="18"/>
        <v>115.23999999999998</v>
      </c>
      <c r="D108" s="111">
        <f t="shared" si="18"/>
        <v>113.33999999999999</v>
      </c>
      <c r="E108" s="111">
        <f t="shared" si="18"/>
        <v>112.53999999999999</v>
      </c>
      <c r="F108" s="111">
        <f t="shared" si="18"/>
        <v>119.14</v>
      </c>
      <c r="G108" s="111">
        <f t="shared" si="18"/>
        <v>139.84</v>
      </c>
      <c r="H108" s="111">
        <f t="shared" si="18"/>
        <v>186.24</v>
      </c>
      <c r="I108" s="111">
        <f t="shared" si="18"/>
        <v>204.64</v>
      </c>
      <c r="J108" s="111">
        <f t="shared" si="18"/>
        <v>270.54000000000002</v>
      </c>
      <c r="K108" s="111">
        <f t="shared" si="18"/>
        <v>305.74</v>
      </c>
      <c r="L108" s="111">
        <f t="shared" si="18"/>
        <v>298.73999999999995</v>
      </c>
      <c r="M108" s="111">
        <f t="shared" si="18"/>
        <v>319.54000000000002</v>
      </c>
      <c r="N108" s="111">
        <f t="shared" si="18"/>
        <v>302.73999999999995</v>
      </c>
      <c r="O108" s="111">
        <f t="shared" si="18"/>
        <v>288.33999999999997</v>
      </c>
      <c r="P108" s="111">
        <v>42</v>
      </c>
      <c r="Q108" s="111">
        <f t="shared" si="18"/>
        <v>263.79999999999995</v>
      </c>
      <c r="R108" s="111">
        <f t="shared" si="18"/>
        <v>240.1</v>
      </c>
      <c r="S108" s="111">
        <f t="shared" si="18"/>
        <v>248.6</v>
      </c>
      <c r="T108" s="111">
        <f t="shared" si="18"/>
        <v>253.2</v>
      </c>
      <c r="U108" s="111">
        <f t="shared" si="18"/>
        <v>264.7</v>
      </c>
      <c r="V108" s="111">
        <f t="shared" si="18"/>
        <v>276.7</v>
      </c>
      <c r="W108" s="111">
        <f t="shared" si="18"/>
        <v>289.5</v>
      </c>
      <c r="X108" s="111">
        <f t="shared" si="18"/>
        <v>295.8</v>
      </c>
      <c r="Y108" s="111">
        <f t="shared" si="18"/>
        <v>352.4</v>
      </c>
      <c r="Z108" s="111">
        <f t="shared" si="18"/>
        <v>332.4</v>
      </c>
      <c r="AA108" s="111">
        <f t="shared" si="18"/>
        <v>340</v>
      </c>
      <c r="AB108" s="111">
        <f t="shared" si="18"/>
        <v>308</v>
      </c>
      <c r="AC108" s="111">
        <f t="shared" si="18"/>
        <v>258.10000000000002</v>
      </c>
      <c r="AD108" s="111">
        <f t="shared" si="18"/>
        <v>253</v>
      </c>
      <c r="AE108" s="111">
        <f t="shared" si="18"/>
        <v>216</v>
      </c>
      <c r="AF108" s="111">
        <f t="shared" si="18"/>
        <v>153</v>
      </c>
      <c r="AG108" s="112"/>
      <c r="AH108" s="47">
        <f t="shared" si="11"/>
        <v>352.4</v>
      </c>
      <c r="AI108" s="48">
        <f t="shared" si="12"/>
        <v>42</v>
      </c>
    </row>
    <row r="109" spans="1:37" x14ac:dyDescent="0.25">
      <c r="A109" s="100" t="s">
        <v>113</v>
      </c>
      <c r="B109" s="113">
        <v>7</v>
      </c>
      <c r="C109" s="113">
        <v>6.5</v>
      </c>
      <c r="D109" s="113">
        <v>2.1</v>
      </c>
      <c r="E109" s="113">
        <v>1</v>
      </c>
      <c r="F109" s="113">
        <v>-1.6</v>
      </c>
      <c r="G109" s="113">
        <v>-1.4</v>
      </c>
      <c r="H109" s="113">
        <v>-3.3</v>
      </c>
      <c r="I109" s="113">
        <v>-5.4</v>
      </c>
      <c r="J109" s="113">
        <v>10</v>
      </c>
      <c r="K109" s="113">
        <v>15.1</v>
      </c>
      <c r="L109" s="113">
        <v>9</v>
      </c>
      <c r="M109" s="113">
        <v>1.9</v>
      </c>
      <c r="N109" s="113">
        <v>6.7</v>
      </c>
      <c r="O109" s="113">
        <v>6.9</v>
      </c>
      <c r="P109" s="113">
        <v>6.9</v>
      </c>
      <c r="Q109" s="113">
        <v>2</v>
      </c>
      <c r="R109" s="113">
        <v>-6.2</v>
      </c>
      <c r="S109" s="113">
        <v>-3.6</v>
      </c>
      <c r="T109" s="113">
        <v>-3.9</v>
      </c>
      <c r="U109" s="113">
        <v>-6.5</v>
      </c>
      <c r="V109" s="113">
        <v>-7</v>
      </c>
      <c r="W109" s="113">
        <v>-5.0999999999999996</v>
      </c>
      <c r="X109" s="113">
        <v>3.4</v>
      </c>
      <c r="Y109" s="113">
        <v>14.1</v>
      </c>
      <c r="Z109" s="113">
        <v>13.3</v>
      </c>
      <c r="AA109" s="113">
        <v>19</v>
      </c>
      <c r="AB109" s="113">
        <v>19</v>
      </c>
      <c r="AC109" s="113">
        <v>12</v>
      </c>
      <c r="AD109" s="113">
        <v>12</v>
      </c>
      <c r="AE109" s="113">
        <v>4</v>
      </c>
      <c r="AF109" s="113">
        <v>-21</v>
      </c>
      <c r="AG109" s="114">
        <v>75</v>
      </c>
      <c r="AH109" s="47">
        <f t="shared" si="11"/>
        <v>19</v>
      </c>
      <c r="AI109" s="48">
        <f t="shared" si="12"/>
        <v>-21</v>
      </c>
    </row>
    <row r="110" spans="1:37" x14ac:dyDescent="0.25">
      <c r="A110" s="103" t="s">
        <v>114</v>
      </c>
      <c r="B110" s="115">
        <v>11.6</v>
      </c>
      <c r="C110" s="115">
        <v>11</v>
      </c>
      <c r="D110" s="115">
        <v>5</v>
      </c>
      <c r="E110" s="115">
        <v>4.5</v>
      </c>
      <c r="F110" s="115">
        <v>0</v>
      </c>
      <c r="G110" s="115">
        <v>0</v>
      </c>
      <c r="H110" s="115">
        <v>-2.2999999999999998</v>
      </c>
      <c r="I110" s="115">
        <v>-5.5</v>
      </c>
      <c r="J110" s="115">
        <v>6.3</v>
      </c>
      <c r="K110" s="115">
        <v>11.4</v>
      </c>
      <c r="L110" s="115">
        <v>2.8</v>
      </c>
      <c r="M110" s="115">
        <v>-3.4</v>
      </c>
      <c r="N110" s="115">
        <v>4.5</v>
      </c>
      <c r="O110" s="115">
        <v>4.5999999999999996</v>
      </c>
      <c r="P110" s="115">
        <v>4.5999999999999996</v>
      </c>
      <c r="Q110" s="115">
        <v>4.2</v>
      </c>
      <c r="R110" s="115">
        <v>-6.7</v>
      </c>
      <c r="S110" s="115">
        <v>-2.9</v>
      </c>
      <c r="T110" s="115">
        <v>-2.6</v>
      </c>
      <c r="U110" s="115">
        <v>-10.7</v>
      </c>
      <c r="V110" s="115">
        <v>-12</v>
      </c>
      <c r="W110" s="115">
        <v>-15.1</v>
      </c>
      <c r="X110" s="115">
        <v>-1.6</v>
      </c>
      <c r="Y110" s="115">
        <v>11.3</v>
      </c>
      <c r="Z110" s="115">
        <v>9.1</v>
      </c>
      <c r="AA110" s="115">
        <v>19</v>
      </c>
      <c r="AB110" s="115">
        <v>19</v>
      </c>
      <c r="AC110" s="115">
        <v>8.4</v>
      </c>
      <c r="AD110" s="115">
        <v>10</v>
      </c>
      <c r="AE110" s="115">
        <v>1</v>
      </c>
      <c r="AF110" s="115">
        <v>-29</v>
      </c>
      <c r="AG110" s="114">
        <v>240</v>
      </c>
      <c r="AH110" s="47">
        <f t="shared" si="11"/>
        <v>19</v>
      </c>
      <c r="AI110" s="48">
        <f t="shared" si="12"/>
        <v>-29</v>
      </c>
    </row>
    <row r="111" spans="1:37" x14ac:dyDescent="0.25">
      <c r="A111" s="103" t="s">
        <v>115</v>
      </c>
      <c r="B111" s="115">
        <v>3</v>
      </c>
      <c r="C111" s="115">
        <v>-0.2</v>
      </c>
      <c r="D111" s="115">
        <v>5</v>
      </c>
      <c r="E111" s="115">
        <v>5.0999999999999996</v>
      </c>
      <c r="F111" s="115">
        <v>14.4</v>
      </c>
      <c r="G111" s="115">
        <v>21.8</v>
      </c>
      <c r="H111" s="115">
        <v>8.8000000000000007</v>
      </c>
      <c r="I111" s="115">
        <v>17.3</v>
      </c>
      <c r="J111" s="115">
        <v>35.6</v>
      </c>
      <c r="K111" s="115">
        <v>48.7</v>
      </c>
      <c r="L111" s="115">
        <v>42.9</v>
      </c>
      <c r="M111" s="115">
        <v>73</v>
      </c>
      <c r="N111" s="115">
        <v>57</v>
      </c>
      <c r="O111" s="115">
        <v>62.6</v>
      </c>
      <c r="P111" s="115">
        <v>62.6</v>
      </c>
      <c r="Q111" s="115">
        <v>30.5</v>
      </c>
      <c r="R111" s="115">
        <v>24</v>
      </c>
      <c r="S111" s="115">
        <v>25</v>
      </c>
      <c r="T111" s="115">
        <v>27</v>
      </c>
      <c r="U111" s="115">
        <v>34</v>
      </c>
      <c r="V111" s="115">
        <v>46</v>
      </c>
      <c r="W111" s="115">
        <v>60</v>
      </c>
      <c r="X111" s="115">
        <v>57</v>
      </c>
      <c r="Y111" s="115">
        <v>67</v>
      </c>
      <c r="Z111" s="115">
        <v>45</v>
      </c>
      <c r="AA111" s="115">
        <v>59</v>
      </c>
      <c r="AB111" s="115">
        <v>45</v>
      </c>
      <c r="AC111" s="115">
        <f>12.3+20.3</f>
        <v>32.6</v>
      </c>
      <c r="AD111" s="115">
        <v>35</v>
      </c>
      <c r="AE111" s="115">
        <v>30</v>
      </c>
      <c r="AF111" s="115">
        <v>8</v>
      </c>
      <c r="AG111" s="114">
        <v>240</v>
      </c>
      <c r="AH111" s="47">
        <f t="shared" si="11"/>
        <v>73</v>
      </c>
      <c r="AI111" s="48">
        <f t="shared" si="12"/>
        <v>-0.2</v>
      </c>
    </row>
    <row r="112" spans="1:37" x14ac:dyDescent="0.25">
      <c r="A112" s="103" t="s">
        <v>116</v>
      </c>
      <c r="B112" s="115">
        <v>3</v>
      </c>
      <c r="C112" s="115">
        <v>0.7</v>
      </c>
      <c r="D112" s="115">
        <v>3.2</v>
      </c>
      <c r="E112" s="115">
        <v>4.7</v>
      </c>
      <c r="F112" s="115">
        <v>2.2000000000000002</v>
      </c>
      <c r="G112" s="115">
        <v>5.9</v>
      </c>
      <c r="H112" s="115">
        <v>6.4</v>
      </c>
      <c r="I112" s="115">
        <v>7.3</v>
      </c>
      <c r="J112" s="115">
        <v>26</v>
      </c>
      <c r="K112" s="115">
        <v>34.5</v>
      </c>
      <c r="L112" s="115">
        <v>43.5</v>
      </c>
      <c r="M112" s="115">
        <v>46.3</v>
      </c>
      <c r="N112" s="115">
        <v>25.7</v>
      </c>
      <c r="O112" s="115">
        <v>21.3</v>
      </c>
      <c r="P112" s="115">
        <v>21.3</v>
      </c>
      <c r="Q112" s="115">
        <v>22.4</v>
      </c>
      <c r="R112" s="115">
        <v>28.9</v>
      </c>
      <c r="S112" s="115">
        <v>23.8</v>
      </c>
      <c r="T112" s="115">
        <v>24</v>
      </c>
      <c r="U112" s="115">
        <v>43.2</v>
      </c>
      <c r="V112" s="115">
        <v>44</v>
      </c>
      <c r="W112" s="115">
        <v>46</v>
      </c>
      <c r="X112" s="115">
        <v>51</v>
      </c>
      <c r="Y112" s="115">
        <v>54</v>
      </c>
      <c r="Z112" s="115">
        <v>58</v>
      </c>
      <c r="AA112" s="115">
        <v>42</v>
      </c>
      <c r="AB112" s="115">
        <v>36</v>
      </c>
      <c r="AC112" s="115">
        <v>12</v>
      </c>
      <c r="AD112" s="115">
        <v>10</v>
      </c>
      <c r="AE112" s="115">
        <v>7</v>
      </c>
      <c r="AF112" s="115">
        <v>3</v>
      </c>
      <c r="AG112" s="114">
        <v>60</v>
      </c>
      <c r="AH112" s="47">
        <f t="shared" si="11"/>
        <v>58</v>
      </c>
      <c r="AI112" s="48">
        <f t="shared" si="12"/>
        <v>0.7</v>
      </c>
    </row>
    <row r="113" spans="1:37" x14ac:dyDescent="0.25">
      <c r="A113" s="116" t="s">
        <v>117</v>
      </c>
      <c r="B113" s="117">
        <v>9</v>
      </c>
      <c r="C113" s="117">
        <v>2.6</v>
      </c>
      <c r="D113" s="117">
        <v>3.4</v>
      </c>
      <c r="E113" s="117">
        <v>2.9</v>
      </c>
      <c r="F113" s="117">
        <v>5.8</v>
      </c>
      <c r="G113" s="117">
        <v>16.8</v>
      </c>
      <c r="H113" s="117">
        <v>79.900000000000006</v>
      </c>
      <c r="I113" s="117">
        <v>94.1</v>
      </c>
      <c r="J113" s="117">
        <v>96</v>
      </c>
      <c r="K113" s="117">
        <v>100.8</v>
      </c>
      <c r="L113" s="117">
        <v>104.9</v>
      </c>
      <c r="M113" s="117">
        <v>106.1</v>
      </c>
      <c r="N113" s="117">
        <v>107.2</v>
      </c>
      <c r="O113" s="117">
        <v>91.3</v>
      </c>
      <c r="P113" s="117">
        <v>91.3</v>
      </c>
      <c r="Q113" s="117">
        <v>104</v>
      </c>
      <c r="R113" s="117">
        <v>99.4</v>
      </c>
      <c r="S113" s="117">
        <v>103.6</v>
      </c>
      <c r="T113" s="117">
        <v>106</v>
      </c>
      <c r="U113" s="117">
        <v>102</v>
      </c>
      <c r="V113" s="117">
        <v>103</v>
      </c>
      <c r="W113" s="117">
        <v>103</v>
      </c>
      <c r="X113" s="117">
        <v>93</v>
      </c>
      <c r="Y113" s="117">
        <v>113</v>
      </c>
      <c r="Z113" s="117">
        <v>114</v>
      </c>
      <c r="AA113" s="117">
        <v>108</v>
      </c>
      <c r="AB113" s="117">
        <v>96</v>
      </c>
      <c r="AC113" s="117">
        <v>101.1</v>
      </c>
      <c r="AD113" s="117">
        <v>94</v>
      </c>
      <c r="AE113" s="117">
        <v>82</v>
      </c>
      <c r="AF113" s="117">
        <v>98</v>
      </c>
      <c r="AG113" s="118">
        <v>120</v>
      </c>
      <c r="AH113" s="47">
        <f t="shared" si="11"/>
        <v>114</v>
      </c>
      <c r="AI113" s="48">
        <f t="shared" si="12"/>
        <v>2.6</v>
      </c>
    </row>
    <row r="114" spans="1:37" x14ac:dyDescent="0.25">
      <c r="A114" s="116" t="s">
        <v>118</v>
      </c>
      <c r="B114" s="117">
        <v>47.9</v>
      </c>
      <c r="C114" s="117">
        <v>47</v>
      </c>
      <c r="D114" s="117">
        <v>50.8</v>
      </c>
      <c r="E114" s="117">
        <v>49.5</v>
      </c>
      <c r="F114" s="117">
        <v>60.4</v>
      </c>
      <c r="G114" s="117">
        <v>63.7</v>
      </c>
      <c r="H114" s="117">
        <v>59.3</v>
      </c>
      <c r="I114" s="117">
        <v>72.5</v>
      </c>
      <c r="J114" s="117">
        <v>105</v>
      </c>
      <c r="K114" s="117">
        <v>91.5</v>
      </c>
      <c r="L114" s="117">
        <v>91.5</v>
      </c>
      <c r="M114" s="117">
        <v>78.7</v>
      </c>
      <c r="N114" s="117">
        <v>89.4</v>
      </c>
      <c r="O114" s="117">
        <v>100.3</v>
      </c>
      <c r="P114" s="117">
        <v>100.3</v>
      </c>
      <c r="Q114" s="117">
        <v>78.3</v>
      </c>
      <c r="R114" s="117">
        <v>76.2</v>
      </c>
      <c r="S114" s="117">
        <v>80.599999999999994</v>
      </c>
      <c r="T114" s="117">
        <v>82</v>
      </c>
      <c r="U114" s="117">
        <v>77.400000000000006</v>
      </c>
      <c r="V114" s="117">
        <v>80</v>
      </c>
      <c r="W114" s="117">
        <v>76</v>
      </c>
      <c r="X114" s="117">
        <v>65</v>
      </c>
      <c r="Y114" s="117">
        <v>74</v>
      </c>
      <c r="Z114" s="117">
        <v>80</v>
      </c>
      <c r="AA114" s="117">
        <v>72</v>
      </c>
      <c r="AB114" s="117">
        <v>65</v>
      </c>
      <c r="AC114" s="117">
        <v>83.4</v>
      </c>
      <c r="AD114" s="117">
        <v>80</v>
      </c>
      <c r="AE114" s="117">
        <v>80</v>
      </c>
      <c r="AF114" s="117">
        <v>78</v>
      </c>
      <c r="AG114" s="118"/>
      <c r="AH114" s="47">
        <f t="shared" si="11"/>
        <v>105</v>
      </c>
      <c r="AI114" s="48">
        <f t="shared" si="12"/>
        <v>47</v>
      </c>
    </row>
    <row r="115" spans="1:37" x14ac:dyDescent="0.25">
      <c r="A115" s="116" t="s">
        <v>119</v>
      </c>
      <c r="B115" s="117">
        <v>21.6</v>
      </c>
      <c r="C115" s="117"/>
      <c r="D115" s="117"/>
      <c r="E115" s="117">
        <v>21.5</v>
      </c>
      <c r="F115" s="117"/>
      <c r="G115" s="117"/>
      <c r="H115" s="117"/>
      <c r="I115" s="117">
        <v>27.1</v>
      </c>
      <c r="J115" s="117"/>
      <c r="K115" s="117"/>
      <c r="L115" s="117">
        <v>29.9</v>
      </c>
      <c r="M115" s="117">
        <v>23.3</v>
      </c>
      <c r="N115" s="117">
        <v>55.6</v>
      </c>
      <c r="O115" s="117"/>
      <c r="P115" s="117"/>
      <c r="Q115" s="117">
        <v>54.5</v>
      </c>
      <c r="R115" s="117"/>
      <c r="S115" s="117"/>
      <c r="T115" s="117"/>
      <c r="U115" s="117"/>
      <c r="V115" s="117"/>
      <c r="W115" s="117"/>
      <c r="X115" s="117"/>
      <c r="Y115" s="117">
        <v>15</v>
      </c>
      <c r="Z115" s="117">
        <v>17</v>
      </c>
      <c r="AA115" s="117"/>
      <c r="AB115" s="117">
        <v>15</v>
      </c>
      <c r="AC115" s="117">
        <v>-19.8</v>
      </c>
      <c r="AD115" s="117">
        <v>-19.8</v>
      </c>
      <c r="AE115" s="117">
        <v>43</v>
      </c>
      <c r="AF115" s="117">
        <v>50</v>
      </c>
      <c r="AG115" s="119"/>
      <c r="AH115" s="47">
        <f t="shared" si="11"/>
        <v>55.6</v>
      </c>
      <c r="AI115" s="48">
        <f t="shared" si="12"/>
        <v>-19.8</v>
      </c>
    </row>
    <row r="116" spans="1:37" x14ac:dyDescent="0.25">
      <c r="A116" s="120" t="s">
        <v>120</v>
      </c>
      <c r="B116" s="106">
        <v>-6.4</v>
      </c>
      <c r="C116" s="106">
        <v>-4.0999999999999996</v>
      </c>
      <c r="D116" s="106">
        <v>0</v>
      </c>
      <c r="E116" s="106">
        <v>1.2</v>
      </c>
      <c r="F116" s="106">
        <v>1.1000000000000001</v>
      </c>
      <c r="G116" s="106">
        <v>-2.6</v>
      </c>
      <c r="H116" s="106">
        <v>-18</v>
      </c>
      <c r="I116" s="106">
        <v>-20.5</v>
      </c>
      <c r="J116" s="106">
        <v>-36</v>
      </c>
      <c r="K116" s="106">
        <v>-59.2</v>
      </c>
      <c r="L116" s="106">
        <v>-63.7</v>
      </c>
      <c r="M116" s="106">
        <v>-54.2</v>
      </c>
      <c r="N116" s="106">
        <v>-70.2</v>
      </c>
      <c r="O116" s="106">
        <v>-55</v>
      </c>
      <c r="P116" s="106">
        <v>-55</v>
      </c>
      <c r="Q116" s="106">
        <v>-37.700000000000003</v>
      </c>
      <c r="R116" s="106">
        <v>-43.7</v>
      </c>
      <c r="S116" s="106">
        <v>-49.2</v>
      </c>
      <c r="T116" s="106">
        <v>-45</v>
      </c>
      <c r="U116" s="106">
        <v>-46.2</v>
      </c>
      <c r="V116" s="106">
        <v>-48</v>
      </c>
      <c r="W116" s="106">
        <v>-60</v>
      </c>
      <c r="X116" s="106">
        <v>-78</v>
      </c>
      <c r="Y116" s="106">
        <v>-100</v>
      </c>
      <c r="Z116" s="106">
        <v>-89</v>
      </c>
      <c r="AA116" s="106">
        <v>-66</v>
      </c>
      <c r="AB116" s="106">
        <v>-51</v>
      </c>
      <c r="AC116" s="106">
        <v>-36.5</v>
      </c>
      <c r="AD116" s="106">
        <v>-34</v>
      </c>
      <c r="AE116" s="106">
        <v>-14</v>
      </c>
      <c r="AF116" s="106">
        <v>-12</v>
      </c>
      <c r="AG116" s="119"/>
      <c r="AH116" s="47">
        <f t="shared" si="11"/>
        <v>1.2</v>
      </c>
      <c r="AI116" s="48">
        <f t="shared" si="12"/>
        <v>-100</v>
      </c>
    </row>
    <row r="117" spans="1:37" ht="15.75" thickBot="1" x14ac:dyDescent="0.3">
      <c r="A117" s="120" t="s">
        <v>121</v>
      </c>
      <c r="B117" s="106">
        <v>82.7</v>
      </c>
      <c r="C117" s="106">
        <v>71.599999999999994</v>
      </c>
      <c r="D117" s="106">
        <v>76</v>
      </c>
      <c r="E117" s="106">
        <v>69.3</v>
      </c>
      <c r="F117" s="106">
        <v>63.5</v>
      </c>
      <c r="G117" s="106">
        <v>76</v>
      </c>
      <c r="H117" s="106">
        <v>78.400000000000006</v>
      </c>
      <c r="I117" s="106">
        <v>75</v>
      </c>
      <c r="J117" s="106">
        <v>93</v>
      </c>
      <c r="K117" s="106">
        <v>91.5</v>
      </c>
      <c r="L117" s="106">
        <v>95.7</v>
      </c>
      <c r="M117" s="106">
        <v>94.3</v>
      </c>
      <c r="N117" s="106">
        <v>89.5</v>
      </c>
      <c r="O117" s="106">
        <v>87.5</v>
      </c>
      <c r="P117" s="106">
        <v>87.5</v>
      </c>
      <c r="Q117" s="106">
        <v>92.5</v>
      </c>
      <c r="R117" s="106">
        <v>100.4</v>
      </c>
      <c r="S117" s="106">
        <v>105.8</v>
      </c>
      <c r="T117" s="106">
        <v>105</v>
      </c>
      <c r="U117" s="106">
        <v>95.9</v>
      </c>
      <c r="V117" s="106">
        <v>85</v>
      </c>
      <c r="W117" s="106">
        <v>93</v>
      </c>
      <c r="X117" s="106">
        <v>94</v>
      </c>
      <c r="Y117" s="106">
        <v>111</v>
      </c>
      <c r="Z117" s="106">
        <v>85</v>
      </c>
      <c r="AA117" s="106">
        <v>81</v>
      </c>
      <c r="AB117" s="106">
        <v>76</v>
      </c>
      <c r="AC117" s="106">
        <v>83.7</v>
      </c>
      <c r="AD117" s="106">
        <v>80</v>
      </c>
      <c r="AE117" s="106">
        <v>80</v>
      </c>
      <c r="AF117" s="106">
        <v>73</v>
      </c>
      <c r="AG117" s="119"/>
      <c r="AH117" s="47">
        <f t="shared" si="11"/>
        <v>111</v>
      </c>
      <c r="AI117" s="48">
        <f t="shared" si="12"/>
        <v>63.5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19">SUM(B119:B223)</f>
        <v>0</v>
      </c>
      <c r="C224" s="136">
        <f t="shared" si="19"/>
        <v>0</v>
      </c>
      <c r="D224" s="136">
        <f t="shared" si="19"/>
        <v>0</v>
      </c>
      <c r="E224" s="136">
        <f t="shared" si="19"/>
        <v>0</v>
      </c>
      <c r="F224" s="136">
        <f t="shared" si="19"/>
        <v>0</v>
      </c>
      <c r="G224" s="136">
        <f t="shared" si="19"/>
        <v>0</v>
      </c>
      <c r="H224" s="136">
        <f t="shared" si="19"/>
        <v>0</v>
      </c>
      <c r="I224" s="136">
        <f t="shared" si="19"/>
        <v>0</v>
      </c>
      <c r="J224" s="136">
        <f t="shared" si="19"/>
        <v>0</v>
      </c>
      <c r="K224" s="136">
        <f t="shared" si="19"/>
        <v>0</v>
      </c>
      <c r="L224" s="136">
        <f t="shared" si="19"/>
        <v>0</v>
      </c>
      <c r="M224" s="136">
        <f t="shared" si="19"/>
        <v>0</v>
      </c>
      <c r="N224" s="136">
        <f t="shared" si="19"/>
        <v>0</v>
      </c>
      <c r="O224" s="136">
        <f t="shared" si="19"/>
        <v>0</v>
      </c>
      <c r="P224" s="136">
        <f t="shared" si="19"/>
        <v>0</v>
      </c>
      <c r="Q224" s="136">
        <f t="shared" si="19"/>
        <v>0</v>
      </c>
      <c r="R224" s="136">
        <f t="shared" si="19"/>
        <v>0</v>
      </c>
      <c r="S224" s="136">
        <f t="shared" si="19"/>
        <v>0</v>
      </c>
      <c r="T224" s="136">
        <f t="shared" si="19"/>
        <v>0</v>
      </c>
      <c r="U224" s="136">
        <f t="shared" si="19"/>
        <v>0</v>
      </c>
      <c r="V224" s="136">
        <f t="shared" si="19"/>
        <v>0</v>
      </c>
      <c r="W224" s="136">
        <f t="shared" si="19"/>
        <v>0</v>
      </c>
      <c r="X224" s="136">
        <f t="shared" si="19"/>
        <v>0</v>
      </c>
      <c r="Y224" s="136">
        <f t="shared" si="19"/>
        <v>0</v>
      </c>
      <c r="Z224" s="136">
        <f t="shared" si="19"/>
        <v>0</v>
      </c>
      <c r="AA224" s="136">
        <f t="shared" si="19"/>
        <v>0</v>
      </c>
      <c r="AB224" s="136">
        <f t="shared" si="19"/>
        <v>0</v>
      </c>
      <c r="AC224" s="136">
        <f t="shared" si="19"/>
        <v>0</v>
      </c>
      <c r="AD224" s="136">
        <f t="shared" si="19"/>
        <v>0</v>
      </c>
      <c r="AE224" s="136">
        <f t="shared" si="19"/>
        <v>0</v>
      </c>
      <c r="AF224" s="137">
        <f t="shared" si="19"/>
        <v>0</v>
      </c>
      <c r="AG224" s="138">
        <f t="shared" si="19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0">AF226</f>
        <v>0</v>
      </c>
      <c r="C226" s="140">
        <v>0.3</v>
      </c>
      <c r="D226" s="140">
        <f t="shared" ref="D226:P231" si="21">C226</f>
        <v>0.3</v>
      </c>
      <c r="E226" s="140">
        <f t="shared" si="21"/>
        <v>0.3</v>
      </c>
      <c r="F226" s="140">
        <f t="shared" si="21"/>
        <v>0.3</v>
      </c>
      <c r="G226" s="140">
        <f t="shared" si="21"/>
        <v>0.3</v>
      </c>
      <c r="H226" s="140">
        <f t="shared" si="21"/>
        <v>0.3</v>
      </c>
      <c r="I226" s="140">
        <f t="shared" si="21"/>
        <v>0.3</v>
      </c>
      <c r="J226" s="140">
        <f t="shared" si="21"/>
        <v>0.3</v>
      </c>
      <c r="K226" s="140">
        <f t="shared" si="21"/>
        <v>0.3</v>
      </c>
      <c r="L226" s="140">
        <f t="shared" si="21"/>
        <v>0.3</v>
      </c>
      <c r="M226" s="140">
        <f t="shared" si="21"/>
        <v>0.3</v>
      </c>
      <c r="N226" s="140">
        <f t="shared" si="21"/>
        <v>0.3</v>
      </c>
      <c r="O226" s="140">
        <f t="shared" si="21"/>
        <v>0.3</v>
      </c>
      <c r="P226" s="140">
        <f t="shared" si="21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0"/>
        <v>0</v>
      </c>
      <c r="C227" s="128">
        <v>0.4</v>
      </c>
      <c r="D227" s="128">
        <f t="shared" si="21"/>
        <v>0.4</v>
      </c>
      <c r="E227" s="128">
        <f t="shared" si="21"/>
        <v>0.4</v>
      </c>
      <c r="F227" s="128">
        <f t="shared" si="21"/>
        <v>0.4</v>
      </c>
      <c r="G227" s="128">
        <f t="shared" si="21"/>
        <v>0.4</v>
      </c>
      <c r="H227" s="128">
        <f t="shared" si="21"/>
        <v>0.4</v>
      </c>
      <c r="I227" s="128">
        <f t="shared" si="21"/>
        <v>0.4</v>
      </c>
      <c r="J227" s="128">
        <f t="shared" si="21"/>
        <v>0.4</v>
      </c>
      <c r="K227" s="128">
        <f t="shared" si="21"/>
        <v>0.4</v>
      </c>
      <c r="L227" s="128">
        <f t="shared" si="21"/>
        <v>0.4</v>
      </c>
      <c r="M227" s="128">
        <f t="shared" si="21"/>
        <v>0.4</v>
      </c>
      <c r="N227" s="128">
        <f t="shared" si="21"/>
        <v>0.4</v>
      </c>
      <c r="O227" s="128">
        <f t="shared" si="21"/>
        <v>0.4</v>
      </c>
      <c r="P227" s="128">
        <f t="shared" si="21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0"/>
        <v>0</v>
      </c>
      <c r="C228" s="128">
        <v>1.5</v>
      </c>
      <c r="D228" s="128">
        <f t="shared" si="21"/>
        <v>1.5</v>
      </c>
      <c r="E228" s="128">
        <f t="shared" si="21"/>
        <v>1.5</v>
      </c>
      <c r="F228" s="128">
        <f t="shared" si="21"/>
        <v>1.5</v>
      </c>
      <c r="G228" s="128">
        <f t="shared" si="21"/>
        <v>1.5</v>
      </c>
      <c r="H228" s="128">
        <f t="shared" si="21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21"/>
        <v>1.5</v>
      </c>
      <c r="K228" s="128">
        <f t="shared" ca="1" si="21"/>
        <v>1.5</v>
      </c>
      <c r="L228" s="128">
        <f t="shared" ca="1" si="21"/>
        <v>1.5</v>
      </c>
      <c r="M228" s="128">
        <f t="shared" ca="1" si="21"/>
        <v>1.5</v>
      </c>
      <c r="N228" s="128">
        <f t="shared" ca="1" si="21"/>
        <v>1.5</v>
      </c>
      <c r="O228" s="128">
        <f t="shared" ca="1" si="21"/>
        <v>1.5</v>
      </c>
      <c r="P228" s="128">
        <f t="shared" ca="1" si="21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0"/>
        <v>0</v>
      </c>
      <c r="C229" s="128">
        <v>0.3</v>
      </c>
      <c r="D229" s="128">
        <f t="shared" si="21"/>
        <v>0.3</v>
      </c>
      <c r="E229" s="128">
        <f t="shared" si="21"/>
        <v>0.3</v>
      </c>
      <c r="F229" s="128">
        <f t="shared" si="21"/>
        <v>0.3</v>
      </c>
      <c r="G229" s="128">
        <f t="shared" si="21"/>
        <v>0.3</v>
      </c>
      <c r="H229" s="128">
        <f t="shared" si="21"/>
        <v>0.3</v>
      </c>
      <c r="I229" s="128">
        <f t="shared" si="21"/>
        <v>0.3</v>
      </c>
      <c r="J229" s="128">
        <f t="shared" si="21"/>
        <v>0.3</v>
      </c>
      <c r="K229" s="128">
        <f t="shared" si="21"/>
        <v>0.3</v>
      </c>
      <c r="L229" s="128">
        <f t="shared" si="21"/>
        <v>0.3</v>
      </c>
      <c r="M229" s="128">
        <f t="shared" si="21"/>
        <v>0.3</v>
      </c>
      <c r="N229" s="128">
        <f t="shared" si="21"/>
        <v>0.3</v>
      </c>
      <c r="O229" s="128">
        <f t="shared" si="21"/>
        <v>0.3</v>
      </c>
      <c r="P229" s="128">
        <f t="shared" si="21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0"/>
        <v>0</v>
      </c>
      <c r="C231" s="132">
        <v>0.64</v>
      </c>
      <c r="D231" s="132">
        <f t="shared" si="21"/>
        <v>0.64</v>
      </c>
      <c r="E231" s="132">
        <f t="shared" si="21"/>
        <v>0.64</v>
      </c>
      <c r="F231" s="132">
        <f t="shared" si="21"/>
        <v>0.64</v>
      </c>
      <c r="G231" s="132">
        <f t="shared" si="21"/>
        <v>0.64</v>
      </c>
      <c r="H231" s="132">
        <f t="shared" si="21"/>
        <v>0.64</v>
      </c>
      <c r="I231" s="132">
        <f t="shared" si="21"/>
        <v>0.64</v>
      </c>
      <c r="J231" s="132">
        <f t="shared" si="21"/>
        <v>0.64</v>
      </c>
      <c r="K231" s="132">
        <f t="shared" si="21"/>
        <v>0.64</v>
      </c>
      <c r="L231" s="132">
        <f t="shared" si="21"/>
        <v>0.64</v>
      </c>
      <c r="M231" s="132">
        <f t="shared" si="21"/>
        <v>0.64</v>
      </c>
      <c r="N231" s="132">
        <f t="shared" si="21"/>
        <v>0.64</v>
      </c>
      <c r="O231" s="132">
        <f t="shared" si="21"/>
        <v>0.64</v>
      </c>
      <c r="P231" s="132">
        <f t="shared" si="21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2">SUM(B226:B231)</f>
        <v>0</v>
      </c>
      <c r="C232" s="136">
        <f t="shared" si="22"/>
        <v>3.54</v>
      </c>
      <c r="D232" s="136">
        <f t="shared" si="22"/>
        <v>3.54</v>
      </c>
      <c r="E232" s="136">
        <f t="shared" si="22"/>
        <v>3.54</v>
      </c>
      <c r="F232" s="136">
        <f t="shared" si="22"/>
        <v>3.54</v>
      </c>
      <c r="G232" s="136">
        <f t="shared" si="22"/>
        <v>3.54</v>
      </c>
      <c r="H232" s="136">
        <f t="shared" si="22"/>
        <v>3.54</v>
      </c>
      <c r="I232" s="136">
        <f t="shared" ca="1" si="22"/>
        <v>3.54</v>
      </c>
      <c r="J232" s="136">
        <f t="shared" ca="1" si="22"/>
        <v>3.54</v>
      </c>
      <c r="K232" s="136">
        <f t="shared" ca="1" si="22"/>
        <v>3.54</v>
      </c>
      <c r="L232" s="136">
        <f t="shared" ca="1" si="22"/>
        <v>3.54</v>
      </c>
      <c r="M232" s="136">
        <f t="shared" ca="1" si="22"/>
        <v>3.54</v>
      </c>
      <c r="N232" s="136">
        <f t="shared" ca="1" si="22"/>
        <v>3.54</v>
      </c>
      <c r="O232" s="136">
        <f t="shared" ca="1" si="22"/>
        <v>3.54</v>
      </c>
      <c r="P232" s="136">
        <f t="shared" ca="1" si="22"/>
        <v>3.54</v>
      </c>
      <c r="Q232" s="136">
        <f t="shared" si="22"/>
        <v>0</v>
      </c>
      <c r="R232" s="136">
        <f t="shared" si="22"/>
        <v>0</v>
      </c>
      <c r="S232" s="136">
        <f t="shared" si="22"/>
        <v>0</v>
      </c>
      <c r="T232" s="136">
        <f t="shared" si="22"/>
        <v>0</v>
      </c>
      <c r="U232" s="136">
        <f t="shared" si="22"/>
        <v>0</v>
      </c>
      <c r="V232" s="136">
        <f t="shared" si="22"/>
        <v>0</v>
      </c>
      <c r="W232" s="136">
        <f t="shared" si="22"/>
        <v>0</v>
      </c>
      <c r="X232" s="136">
        <f t="shared" si="22"/>
        <v>0</v>
      </c>
      <c r="Y232" s="136">
        <f t="shared" si="22"/>
        <v>0</v>
      </c>
      <c r="Z232" s="136">
        <f t="shared" si="22"/>
        <v>0</v>
      </c>
      <c r="AA232" s="136">
        <f t="shared" si="22"/>
        <v>0</v>
      </c>
      <c r="AB232" s="136">
        <f t="shared" si="22"/>
        <v>0</v>
      </c>
      <c r="AC232" s="136">
        <f t="shared" si="22"/>
        <v>0</v>
      </c>
      <c r="AD232" s="136">
        <f t="shared" si="22"/>
        <v>0</v>
      </c>
      <c r="AE232" s="136">
        <f t="shared" si="22"/>
        <v>0</v>
      </c>
      <c r="AF232" s="136">
        <f t="shared" si="22"/>
        <v>0</v>
      </c>
      <c r="AG232" s="145">
        <f t="shared" si="22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1433.54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26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2079/11/26)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2079/11/26)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3">B89</f>
        <v>1045.54</v>
      </c>
      <c r="U246" s="170">
        <f t="shared" si="23"/>
        <v>978.54</v>
      </c>
      <c r="V246" s="170">
        <f t="shared" si="23"/>
        <v>966.94</v>
      </c>
      <c r="W246" s="170">
        <f t="shared" si="23"/>
        <v>968.04000000000008</v>
      </c>
      <c r="X246" s="170">
        <f t="shared" si="23"/>
        <v>954.34</v>
      </c>
      <c r="Y246" s="170">
        <f t="shared" si="23"/>
        <v>984.44</v>
      </c>
      <c r="Z246" s="170">
        <f t="shared" si="23"/>
        <v>1063.6399999999999</v>
      </c>
      <c r="AA246" s="170">
        <f t="shared" si="23"/>
        <v>1111.8400000000001</v>
      </c>
      <c r="AB246" s="170">
        <f t="shared" si="23"/>
        <v>1283.8400000000001</v>
      </c>
      <c r="AC246" s="170">
        <f t="shared" si="23"/>
        <v>1306.94</v>
      </c>
      <c r="AD246" s="170">
        <f t="shared" si="23"/>
        <v>1341.44</v>
      </c>
      <c r="AE246" s="170">
        <f t="shared" si="23"/>
        <v>1433.54</v>
      </c>
      <c r="AF246" s="170">
        <f t="shared" si="23"/>
        <v>1383.24</v>
      </c>
      <c r="AG246" s="170">
        <f t="shared" si="23"/>
        <v>1320.24</v>
      </c>
      <c r="AH246" s="170">
        <f t="shared" si="23"/>
        <v>1318.14</v>
      </c>
      <c r="AI246" s="170">
        <f t="shared" si="23"/>
        <v>1341.24</v>
      </c>
      <c r="AJ246" s="170">
        <f t="shared" si="23"/>
        <v>1323.24</v>
      </c>
      <c r="AK246" s="170">
        <f t="shared" si="23"/>
        <v>1342.74</v>
      </c>
      <c r="AL246" s="170">
        <f t="shared" si="23"/>
        <v>1350.84</v>
      </c>
      <c r="AM246" s="170">
        <f t="shared" si="23"/>
        <v>1396.04</v>
      </c>
      <c r="AN246" s="170">
        <f t="shared" si="23"/>
        <v>1381.04</v>
      </c>
      <c r="AO246" s="170">
        <f t="shared" si="23"/>
        <v>1375.84</v>
      </c>
      <c r="AP246" s="170">
        <f t="shared" si="23"/>
        <v>1397.04</v>
      </c>
      <c r="AQ246" s="170">
        <f t="shared" si="23"/>
        <v>1577.44</v>
      </c>
      <c r="AR246" s="170">
        <f t="shared" si="23"/>
        <v>1571.44</v>
      </c>
      <c r="AS246" s="170">
        <f t="shared" si="23"/>
        <v>1451.7400000000002</v>
      </c>
      <c r="AT246" s="170">
        <f t="shared" si="23"/>
        <v>1331.14</v>
      </c>
      <c r="AU246" s="170">
        <f t="shared" si="23"/>
        <v>1373.34</v>
      </c>
      <c r="AV246" s="170">
        <f t="shared" si="23"/>
        <v>1260.04</v>
      </c>
      <c r="AW246" s="170">
        <f t="shared" si="23"/>
        <v>1147.04</v>
      </c>
      <c r="AX246" s="170">
        <f t="shared" si="23"/>
        <v>1064.04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24">C231</f>
        <v>0.64</v>
      </c>
      <c r="C267" s="173">
        <f t="shared" si="24"/>
        <v>0.64</v>
      </c>
      <c r="D267" s="173">
        <f t="shared" si="24"/>
        <v>0.64</v>
      </c>
      <c r="E267" s="173">
        <f t="shared" si="24"/>
        <v>0.64</v>
      </c>
      <c r="F267" s="173">
        <f t="shared" si="24"/>
        <v>0.64</v>
      </c>
      <c r="G267" s="173">
        <f t="shared" si="24"/>
        <v>0.64</v>
      </c>
      <c r="H267" s="173">
        <f t="shared" si="24"/>
        <v>0.64</v>
      </c>
      <c r="I267" s="173">
        <f t="shared" si="24"/>
        <v>0.64</v>
      </c>
      <c r="J267" s="173">
        <f t="shared" si="24"/>
        <v>0.64</v>
      </c>
      <c r="K267" s="173">
        <f t="shared" si="24"/>
        <v>0.64</v>
      </c>
      <c r="L267" s="173">
        <f t="shared" si="24"/>
        <v>0.64</v>
      </c>
      <c r="M267" s="173">
        <f t="shared" si="24"/>
        <v>0.64</v>
      </c>
      <c r="N267" s="173">
        <f t="shared" si="24"/>
        <v>0.64</v>
      </c>
      <c r="O267" s="173">
        <f t="shared" si="24"/>
        <v>0.64</v>
      </c>
      <c r="P267" s="173">
        <f t="shared" si="24"/>
        <v>0</v>
      </c>
      <c r="Q267" s="173">
        <f t="shared" si="24"/>
        <v>0</v>
      </c>
      <c r="R267" s="173">
        <f t="shared" si="24"/>
        <v>0</v>
      </c>
      <c r="S267" s="173">
        <f t="shared" si="24"/>
        <v>0</v>
      </c>
      <c r="T267" s="173">
        <f t="shared" si="24"/>
        <v>0</v>
      </c>
      <c r="U267" s="173">
        <f t="shared" si="24"/>
        <v>0</v>
      </c>
      <c r="V267" s="173">
        <f t="shared" si="24"/>
        <v>0</v>
      </c>
      <c r="W267" s="173">
        <f t="shared" si="24"/>
        <v>0</v>
      </c>
      <c r="X267" s="173">
        <f t="shared" si="24"/>
        <v>0</v>
      </c>
      <c r="Y267" s="173">
        <f t="shared" si="24"/>
        <v>0</v>
      </c>
      <c r="Z267" s="173">
        <f t="shared" si="24"/>
        <v>0</v>
      </c>
      <c r="AA267" s="173">
        <f t="shared" si="24"/>
        <v>0</v>
      </c>
      <c r="AB267" s="173">
        <f t="shared" si="24"/>
        <v>0</v>
      </c>
      <c r="AC267" s="173">
        <f t="shared" si="24"/>
        <v>0</v>
      </c>
      <c r="AD267" s="173">
        <f t="shared" si="24"/>
        <v>0</v>
      </c>
      <c r="AE267" s="173">
        <f t="shared" si="24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5">IF(B235&lt;100,"",B235-520)</f>
        <v/>
      </c>
      <c r="C268" s="174" t="str">
        <f t="shared" si="25"/>
        <v/>
      </c>
      <c r="D268" s="174" t="str">
        <f t="shared" si="25"/>
        <v/>
      </c>
      <c r="E268" s="174" t="str">
        <f t="shared" si="25"/>
        <v/>
      </c>
      <c r="F268" s="174" t="str">
        <f t="shared" si="25"/>
        <v/>
      </c>
      <c r="G268" s="174" t="str">
        <f t="shared" si="25"/>
        <v/>
      </c>
      <c r="H268" s="174" t="str">
        <f t="shared" si="25"/>
        <v/>
      </c>
      <c r="I268" s="174" t="str">
        <f t="shared" si="25"/>
        <v/>
      </c>
      <c r="J268" s="174" t="str">
        <f t="shared" si="25"/>
        <v/>
      </c>
      <c r="K268" s="174" t="str">
        <f t="shared" si="25"/>
        <v/>
      </c>
      <c r="L268" s="174" t="str">
        <f t="shared" si="25"/>
        <v/>
      </c>
      <c r="M268" s="174" t="str">
        <f t="shared" si="25"/>
        <v/>
      </c>
      <c r="N268" s="174" t="str">
        <f t="shared" si="25"/>
        <v/>
      </c>
      <c r="O268" s="174" t="str">
        <f t="shared" si="25"/>
        <v/>
      </c>
      <c r="P268" s="174" t="str">
        <f t="shared" si="25"/>
        <v/>
      </c>
      <c r="Q268" s="174" t="str">
        <f t="shared" si="25"/>
        <v/>
      </c>
      <c r="R268" s="174" t="str">
        <f t="shared" si="25"/>
        <v/>
      </c>
      <c r="S268" s="174" t="str">
        <f t="shared" si="25"/>
        <v/>
      </c>
      <c r="T268" s="174" t="str">
        <f t="shared" si="25"/>
        <v/>
      </c>
      <c r="U268" s="174" t="str">
        <f t="shared" si="25"/>
        <v/>
      </c>
      <c r="V268" s="174" t="str">
        <f t="shared" si="25"/>
        <v/>
      </c>
      <c r="W268" s="174" t="str">
        <f t="shared" si="25"/>
        <v/>
      </c>
      <c r="X268" s="174" t="str">
        <f t="shared" si="25"/>
        <v/>
      </c>
      <c r="Y268" s="174" t="str">
        <f t="shared" si="25"/>
        <v/>
      </c>
      <c r="Z268" s="174" t="str">
        <f t="shared" si="25"/>
        <v/>
      </c>
      <c r="AA268" s="174" t="str">
        <f t="shared" si="25"/>
        <v/>
      </c>
      <c r="AB268" s="174" t="str">
        <f t="shared" si="25"/>
        <v/>
      </c>
      <c r="AC268" s="174" t="str">
        <f t="shared" si="25"/>
        <v/>
      </c>
      <c r="AD268" s="174" t="str">
        <f t="shared" si="25"/>
        <v/>
      </c>
      <c r="AE268" s="174" t="str">
        <f t="shared" si="25"/>
        <v/>
      </c>
      <c r="AF268" s="174" t="str">
        <f t="shared" si="25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6">IF(B236&lt;100,"",B236-620)</f>
        <v/>
      </c>
      <c r="C269" s="174" t="str">
        <f t="shared" si="26"/>
        <v/>
      </c>
      <c r="D269" s="174" t="str">
        <f t="shared" si="26"/>
        <v/>
      </c>
      <c r="E269" s="174" t="str">
        <f t="shared" si="26"/>
        <v/>
      </c>
      <c r="F269" s="174" t="str">
        <f t="shared" si="26"/>
        <v/>
      </c>
      <c r="G269" s="174" t="str">
        <f t="shared" si="26"/>
        <v/>
      </c>
      <c r="H269" s="174" t="str">
        <f t="shared" si="26"/>
        <v/>
      </c>
      <c r="I269" s="174" t="str">
        <f t="shared" si="26"/>
        <v/>
      </c>
      <c r="J269" s="174" t="str">
        <f t="shared" si="26"/>
        <v/>
      </c>
      <c r="K269" s="174" t="str">
        <f t="shared" si="26"/>
        <v/>
      </c>
      <c r="L269" s="174" t="str">
        <f t="shared" si="26"/>
        <v/>
      </c>
      <c r="M269" s="174" t="str">
        <f t="shared" si="26"/>
        <v/>
      </c>
      <c r="N269" s="174" t="str">
        <f t="shared" si="26"/>
        <v/>
      </c>
      <c r="O269" s="174" t="str">
        <f t="shared" si="26"/>
        <v/>
      </c>
      <c r="P269" s="174" t="str">
        <f t="shared" si="26"/>
        <v/>
      </c>
      <c r="Q269" s="174" t="str">
        <f t="shared" si="26"/>
        <v/>
      </c>
      <c r="R269" s="174" t="str">
        <f t="shared" si="26"/>
        <v/>
      </c>
      <c r="S269" s="174" t="str">
        <f t="shared" si="26"/>
        <v/>
      </c>
      <c r="T269" s="174" t="str">
        <f t="shared" si="26"/>
        <v/>
      </c>
      <c r="U269" s="174" t="str">
        <f t="shared" si="26"/>
        <v/>
      </c>
      <c r="V269" s="174" t="str">
        <f t="shared" si="26"/>
        <v/>
      </c>
      <c r="W269" s="174" t="str">
        <f t="shared" si="26"/>
        <v/>
      </c>
      <c r="X269" s="174" t="str">
        <f t="shared" si="26"/>
        <v/>
      </c>
      <c r="Y269" s="174" t="str">
        <f t="shared" si="26"/>
        <v/>
      </c>
      <c r="Z269" s="174" t="str">
        <f t="shared" si="26"/>
        <v/>
      </c>
      <c r="AA269" s="174" t="str">
        <f t="shared" si="26"/>
        <v/>
      </c>
      <c r="AB269" s="174" t="str">
        <f t="shared" si="26"/>
        <v/>
      </c>
      <c r="AC269" s="174" t="str">
        <f t="shared" si="26"/>
        <v/>
      </c>
      <c r="AD269" s="174" t="str">
        <f t="shared" si="26"/>
        <v/>
      </c>
      <c r="AE269" s="174" t="str">
        <f t="shared" si="26"/>
        <v/>
      </c>
      <c r="AF269" s="174" t="str">
        <f t="shared" si="26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7">IF(B237&lt;100,"",B237-330)</f>
        <v/>
      </c>
      <c r="C270" s="174" t="str">
        <f t="shared" si="27"/>
        <v/>
      </c>
      <c r="D270" s="174" t="str">
        <f t="shared" si="27"/>
        <v/>
      </c>
      <c r="E270" s="174" t="str">
        <f t="shared" si="27"/>
        <v/>
      </c>
      <c r="F270" s="174" t="str">
        <f t="shared" si="27"/>
        <v/>
      </c>
      <c r="G270" s="174" t="str">
        <f t="shared" si="27"/>
        <v/>
      </c>
      <c r="H270" s="174" t="str">
        <f t="shared" si="27"/>
        <v/>
      </c>
      <c r="I270" s="174" t="str">
        <f t="shared" si="27"/>
        <v/>
      </c>
      <c r="J270" s="174" t="str">
        <f t="shared" si="27"/>
        <v/>
      </c>
      <c r="K270" s="174" t="str">
        <f t="shared" si="27"/>
        <v/>
      </c>
      <c r="L270" s="174" t="str">
        <f t="shared" si="27"/>
        <v/>
      </c>
      <c r="M270" s="174" t="str">
        <f t="shared" si="27"/>
        <v/>
      </c>
      <c r="N270" s="174" t="str">
        <f t="shared" si="27"/>
        <v/>
      </c>
      <c r="O270" s="174" t="str">
        <f t="shared" si="27"/>
        <v/>
      </c>
      <c r="P270" s="174" t="str">
        <f t="shared" si="27"/>
        <v/>
      </c>
      <c r="Q270" s="174" t="str">
        <f t="shared" si="27"/>
        <v/>
      </c>
      <c r="R270" s="174" t="str">
        <f t="shared" si="27"/>
        <v/>
      </c>
      <c r="S270" s="174" t="str">
        <f t="shared" si="27"/>
        <v/>
      </c>
      <c r="T270" s="174" t="str">
        <f t="shared" si="27"/>
        <v/>
      </c>
      <c r="U270" s="174" t="str">
        <f t="shared" si="27"/>
        <v/>
      </c>
      <c r="V270" s="174" t="str">
        <f t="shared" si="27"/>
        <v/>
      </c>
      <c r="W270" s="174" t="str">
        <f t="shared" si="27"/>
        <v/>
      </c>
      <c r="X270" s="174" t="str">
        <f t="shared" si="27"/>
        <v/>
      </c>
      <c r="Y270" s="174" t="str">
        <f t="shared" si="27"/>
        <v/>
      </c>
      <c r="Z270" s="174" t="str">
        <f t="shared" si="27"/>
        <v/>
      </c>
      <c r="AA270" s="174" t="str">
        <f t="shared" si="27"/>
        <v/>
      </c>
      <c r="AB270" s="174" t="str">
        <f t="shared" si="27"/>
        <v/>
      </c>
      <c r="AC270" s="174" t="str">
        <f t="shared" si="27"/>
        <v/>
      </c>
      <c r="AD270" s="174" t="str">
        <f t="shared" si="27"/>
        <v/>
      </c>
      <c r="AE270" s="174" t="str">
        <f t="shared" si="27"/>
        <v/>
      </c>
      <c r="AF270" s="174" t="str">
        <f t="shared" si="27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8">IF(B238&lt;100,"",B238-1500)</f>
        <v/>
      </c>
      <c r="C271" s="174" t="str">
        <f t="shared" si="28"/>
        <v/>
      </c>
      <c r="D271" s="174" t="str">
        <f t="shared" si="28"/>
        <v/>
      </c>
      <c r="E271" s="174" t="str">
        <f t="shared" si="28"/>
        <v/>
      </c>
      <c r="F271" s="174" t="str">
        <f t="shared" si="28"/>
        <v/>
      </c>
      <c r="G271" s="174" t="str">
        <f t="shared" si="28"/>
        <v/>
      </c>
      <c r="H271" s="174" t="str">
        <f t="shared" si="28"/>
        <v/>
      </c>
      <c r="I271" s="174" t="str">
        <f t="shared" si="28"/>
        <v/>
      </c>
      <c r="J271" s="174" t="str">
        <f t="shared" si="28"/>
        <v/>
      </c>
      <c r="K271" s="174" t="str">
        <f t="shared" si="28"/>
        <v/>
      </c>
      <c r="L271" s="174" t="str">
        <f t="shared" si="28"/>
        <v/>
      </c>
      <c r="M271" s="174" t="str">
        <f t="shared" si="28"/>
        <v/>
      </c>
      <c r="N271" s="174" t="str">
        <f t="shared" si="28"/>
        <v/>
      </c>
      <c r="O271" s="174" t="str">
        <f t="shared" si="28"/>
        <v/>
      </c>
      <c r="P271" s="174" t="str">
        <f t="shared" si="28"/>
        <v/>
      </c>
      <c r="Q271" s="174" t="str">
        <f t="shared" si="28"/>
        <v/>
      </c>
      <c r="R271" s="174" t="str">
        <f t="shared" si="28"/>
        <v/>
      </c>
      <c r="S271" s="174" t="str">
        <f t="shared" si="28"/>
        <v/>
      </c>
      <c r="T271" s="174" t="str">
        <f t="shared" si="28"/>
        <v/>
      </c>
      <c r="U271" s="174" t="str">
        <f t="shared" si="28"/>
        <v/>
      </c>
      <c r="V271" s="174" t="str">
        <f t="shared" si="28"/>
        <v/>
      </c>
      <c r="W271" s="174" t="str">
        <f t="shared" si="28"/>
        <v/>
      </c>
      <c r="X271" s="174" t="str">
        <f t="shared" si="28"/>
        <v/>
      </c>
      <c r="Y271" s="174" t="str">
        <f t="shared" si="28"/>
        <v/>
      </c>
      <c r="Z271" s="174" t="str">
        <f t="shared" si="28"/>
        <v/>
      </c>
      <c r="AA271" s="174" t="str">
        <f t="shared" si="28"/>
        <v/>
      </c>
      <c r="AB271" s="174" t="str">
        <f t="shared" si="28"/>
        <v/>
      </c>
      <c r="AC271" s="174" t="str">
        <f t="shared" si="28"/>
        <v/>
      </c>
      <c r="AD271" s="174" t="str">
        <f t="shared" si="28"/>
        <v/>
      </c>
      <c r="AE271" s="174" t="str">
        <f t="shared" si="28"/>
        <v/>
      </c>
      <c r="AF271" s="174" t="str">
        <f t="shared" si="28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Y12:AF15 Y17:AF32 Y34:AF43 Y45:AF45">
    <cfRule type="expression" dxfId="3261" priority="378">
      <formula>B$9&gt;=20/24</formula>
    </cfRule>
    <cfRule type="expression" dxfId="3260" priority="379">
      <formula>AND(B$9&gt;=14/24,B$9&lt;20/24)</formula>
    </cfRule>
    <cfRule type="expression" dxfId="3259" priority="380">
      <formula>AND(B$9&gt;=8/24,B$9&lt;14/24)</formula>
    </cfRule>
    <cfRule type="expression" dxfId="3258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 Y12:AF15 Y17:AF32 Y34:AF43 Y45:AF45">
    <cfRule type="expression" dxfId="3257" priority="376">
      <formula>Y12&gt;$AG12</formula>
    </cfRule>
  </conditionalFormatting>
  <conditionalFormatting sqref="A99:A109 A59:A86 A95:A97 A202:A232 A46:A57 A118:A189 A41:A42 A91:A93 A88:A89 A111:A113 A38:A39 A19:A20 A12:A15 A22:A32 A17 A34:A36">
    <cfRule type="expression" dxfId="3256" priority="375">
      <formula>$AH12=0</formula>
    </cfRule>
  </conditionalFormatting>
  <conditionalFormatting sqref="A114">
    <cfRule type="expression" dxfId="3255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254" priority="372">
      <formula>$AH45=0</formula>
    </cfRule>
  </conditionalFormatting>
  <conditionalFormatting sqref="A98">
    <cfRule type="expression" dxfId="3253" priority="371">
      <formula>$AH98=0</formula>
    </cfRule>
  </conditionalFormatting>
  <conditionalFormatting sqref="A18">
    <cfRule type="expression" dxfId="3252" priority="370">
      <formula>$AH18=0</formula>
    </cfRule>
  </conditionalFormatting>
  <conditionalFormatting sqref="A196:A201">
    <cfRule type="expression" dxfId="3251" priority="369">
      <formula>$AH196=0</formula>
    </cfRule>
  </conditionalFormatting>
  <conditionalFormatting sqref="A190:A195">
    <cfRule type="expression" dxfId="3250" priority="368">
      <formula>$AH190=0</formula>
    </cfRule>
  </conditionalFormatting>
  <conditionalFormatting sqref="A58">
    <cfRule type="expression" dxfId="3249" priority="367">
      <formula>$AH58=0</formula>
    </cfRule>
  </conditionalFormatting>
  <conditionalFormatting sqref="A94">
    <cfRule type="expression" dxfId="3248" priority="366">
      <formula>$AH94=0</formula>
    </cfRule>
  </conditionalFormatting>
  <conditionalFormatting sqref="AF99 E99:X99">
    <cfRule type="expression" dxfId="3247" priority="362">
      <formula>E$9&gt;=20/24</formula>
    </cfRule>
    <cfRule type="expression" dxfId="3246" priority="363">
      <formula>AND(E$9&gt;=14/24,E$9&lt;20/24)</formula>
    </cfRule>
    <cfRule type="expression" dxfId="3245" priority="364">
      <formula>AND(E$9&gt;=8/24,E$9&lt;14/24)</formula>
    </cfRule>
    <cfRule type="expression" dxfId="3244" priority="365">
      <formula>E$9&lt;8/24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43" priority="384">
      <formula>C$9&gt;=20/24</formula>
    </cfRule>
    <cfRule type="expression" dxfId="3242" priority="385">
      <formula>AND(C$9&gt;=14/24,C$9&lt;20/24)</formula>
    </cfRule>
    <cfRule type="expression" dxfId="3241" priority="386">
      <formula>AND(C$9&gt;=8/24,C$9&lt;14/24)</formula>
    </cfRule>
    <cfRule type="expression" dxfId="3240" priority="387">
      <formula>C$9&lt;8/24</formula>
    </cfRule>
  </conditionalFormatting>
  <conditionalFormatting sqref="A233">
    <cfRule type="expression" dxfId="3239" priority="388">
      <formula>$AH233=0</formula>
    </cfRule>
  </conditionalFormatting>
  <conditionalFormatting sqref="AG245">
    <cfRule type="expression" dxfId="3238" priority="389">
      <formula>B$9&gt;=20/24</formula>
    </cfRule>
    <cfRule type="expression" dxfId="3237" priority="390">
      <formula>AND(B$9&gt;=14/24,B$9&lt;20/24)</formula>
    </cfRule>
    <cfRule type="expression" dxfId="3236" priority="391">
      <formula>AND(B$9&gt;=8/24,B$9&lt;14/24)</formula>
    </cfRule>
    <cfRule type="expression" dxfId="3235" priority="392">
      <formula>B$9&lt;8/24</formula>
    </cfRule>
  </conditionalFormatting>
  <conditionalFormatting sqref="S8">
    <cfRule type="expression" dxfId="3234" priority="357">
      <formula>U$9&gt;=20/24</formula>
    </cfRule>
    <cfRule type="expression" dxfId="3233" priority="358">
      <formula>AND(U$9&gt;=14/24,U$9&lt;20/24)</formula>
    </cfRule>
    <cfRule type="expression" dxfId="3232" priority="359">
      <formula>AND(U$9&gt;=8/24,U$9&lt;14/24)</formula>
    </cfRule>
    <cfRule type="expression" dxfId="3231" priority="360">
      <formula>U$9&lt;8/24</formula>
    </cfRule>
  </conditionalFormatting>
  <conditionalFormatting sqref="AB8">
    <cfRule type="expression" dxfId="3230" priority="353">
      <formula>AD$9&gt;=20/24</formula>
    </cfRule>
    <cfRule type="expression" dxfId="3229" priority="354">
      <formula>AND(AD$9&gt;=14/24,AD$9&lt;20/24)</formula>
    </cfRule>
    <cfRule type="expression" dxfId="3228" priority="355">
      <formula>AND(AD$9&gt;=8/24,AD$9&lt;14/24)</formula>
    </cfRule>
    <cfRule type="expression" dxfId="3227" priority="356">
      <formula>AD$9&lt;8/24</formula>
    </cfRule>
  </conditionalFormatting>
  <conditionalFormatting sqref="AH245:AX245">
    <cfRule type="expression" dxfId="3226" priority="393">
      <formula>AG$9&gt;=20/24</formula>
    </cfRule>
    <cfRule type="expression" dxfId="3225" priority="394">
      <formula>AND(AG$9&gt;=14/24,AG$9&lt;20/24)</formula>
    </cfRule>
    <cfRule type="expression" dxfId="3224" priority="395">
      <formula>AND(AG$9&gt;=8/24,AG$9&lt;14/24)</formula>
    </cfRule>
    <cfRule type="expression" dxfId="3223" priority="396">
      <formula>AG$9&lt;8/24</formula>
    </cfRule>
  </conditionalFormatting>
  <conditionalFormatting sqref="T245">
    <cfRule type="expression" dxfId="3222" priority="397">
      <formula>AX$9&gt;=20/24</formula>
    </cfRule>
    <cfRule type="expression" dxfId="3221" priority="398">
      <formula>AND(AX$9&gt;=14/24,AX$9&lt;20/24)</formula>
    </cfRule>
    <cfRule type="expression" dxfId="3220" priority="399">
      <formula>AND(AX$9&gt;=8/24,AX$9&lt;14/24)</formula>
    </cfRule>
    <cfRule type="expression" dxfId="3219" priority="400">
      <formula>AX$9&lt;8/24</formula>
    </cfRule>
  </conditionalFormatting>
  <conditionalFormatting sqref="A115:A116">
    <cfRule type="expression" dxfId="3218" priority="352">
      <formula>$AH115=0</formula>
    </cfRule>
  </conditionalFormatting>
  <conditionalFormatting sqref="M54:R58 AB54:AF55 E71:AF71 X56:AF57">
    <cfRule type="expression" dxfId="3217" priority="348">
      <formula>E$9&gt;=20/24</formula>
    </cfRule>
    <cfRule type="expression" dxfId="3216" priority="349">
      <formula>AND(E$9&gt;=14/24,E$9&lt;20/24)</formula>
    </cfRule>
    <cfRule type="expression" dxfId="3215" priority="350">
      <formula>AND(E$9&gt;=8/24,E$9&lt;14/24)</formula>
    </cfRule>
    <cfRule type="expression" dxfId="3214" priority="351">
      <formula>E$9&lt;8/24</formula>
    </cfRule>
  </conditionalFormatting>
  <conditionalFormatting sqref="AB53:AF53 M53:R53">
    <cfRule type="expression" dxfId="3213" priority="344">
      <formula>M$9&gt;=20/24</formula>
    </cfRule>
    <cfRule type="expression" dxfId="3212" priority="345">
      <formula>AND(M$9&gt;=14/24,M$9&lt;20/24)</formula>
    </cfRule>
    <cfRule type="expression" dxfId="3211" priority="346">
      <formula>AND(M$9&gt;=8/24,M$9&lt;14/24)</formula>
    </cfRule>
    <cfRule type="expression" dxfId="3210" priority="347">
      <formula>M$9&lt;8/24</formula>
    </cfRule>
  </conditionalFormatting>
  <conditionalFormatting sqref="M53:R58 AB53:AF55 X56:AF57">
    <cfRule type="expression" dxfId="3209" priority="343">
      <formula>M53&gt;$AG53</formula>
    </cfRule>
  </conditionalFormatting>
  <conditionalFormatting sqref="D86:AF86 X47:AF47 X96:AF96 AF100:AF106 M100:X106 E72:AF73 Y74:AF74 Y67:AF69">
    <cfRule type="expression" dxfId="3208" priority="339">
      <formula>D$9&gt;=20/24</formula>
    </cfRule>
    <cfRule type="expression" dxfId="3207" priority="340">
      <formula>AND(D$9&gt;=14/24,D$9&lt;20/24)</formula>
    </cfRule>
    <cfRule type="expression" dxfId="3206" priority="341">
      <formula>AND(D$9&gt;=8/24,D$9&lt;14/24)</formula>
    </cfRule>
    <cfRule type="expression" dxfId="3205" priority="342">
      <formula>D$9&lt;8/24</formula>
    </cfRule>
  </conditionalFormatting>
  <conditionalFormatting sqref="X47:AF47 Y67:AF69">
    <cfRule type="expression" dxfId="3204" priority="338">
      <formula>X47&gt;$AG47</formula>
    </cfRule>
  </conditionalFormatting>
  <conditionalFormatting sqref="S53:W58 X53:AA55">
    <cfRule type="expression" dxfId="3203" priority="334">
      <formula>S$9&gt;=20/24</formula>
    </cfRule>
    <cfRule type="expression" dxfId="3202" priority="335">
      <formula>AND(S$9&gt;=14/24,S$9&lt;20/24)</formula>
    </cfRule>
    <cfRule type="expression" dxfId="3201" priority="336">
      <formula>AND(S$9&gt;=8/24,S$9&lt;14/24)</formula>
    </cfRule>
    <cfRule type="expression" dxfId="3200" priority="337">
      <formula>S$9&lt;8/24</formula>
    </cfRule>
  </conditionalFormatting>
  <conditionalFormatting sqref="S53:W58 X53:AA55">
    <cfRule type="expression" dxfId="3199" priority="333">
      <formula>S53&gt;$AG53</formula>
    </cfRule>
  </conditionalFormatting>
  <conditionalFormatting sqref="C97:AF97 D88:AF88">
    <cfRule type="expression" dxfId="3198" priority="329">
      <formula>C$9&gt;=20/24</formula>
    </cfRule>
    <cfRule type="expression" dxfId="3197" priority="330">
      <formula>AND(C$9&gt;=14/24,C$9&lt;20/24)</formula>
    </cfRule>
    <cfRule type="expression" dxfId="3196" priority="331">
      <formula>AND(C$9&gt;=8/24,C$9&lt;14/24)</formula>
    </cfRule>
    <cfRule type="expression" dxfId="3195" priority="332">
      <formula>C$9&lt;8/24</formula>
    </cfRule>
  </conditionalFormatting>
  <conditionalFormatting sqref="T47:W47">
    <cfRule type="expression" dxfId="3194" priority="325">
      <formula>T$9&gt;=20/24</formula>
    </cfRule>
    <cfRule type="expression" dxfId="3193" priority="326">
      <formula>AND(T$9&gt;=14/24,T$9&lt;20/24)</formula>
    </cfRule>
    <cfRule type="expression" dxfId="3192" priority="327">
      <formula>AND(T$9&gt;=8/24,T$9&lt;14/24)</formula>
    </cfRule>
    <cfRule type="expression" dxfId="3191" priority="328">
      <formula>T$9&lt;8/24</formula>
    </cfRule>
  </conditionalFormatting>
  <conditionalFormatting sqref="T47:W47">
    <cfRule type="expression" dxfId="3190" priority="324">
      <formula>T47&gt;$AG47</formula>
    </cfRule>
  </conditionalFormatting>
  <conditionalFormatting sqref="E54:L55 Y46:AF46">
    <cfRule type="expression" dxfId="3189" priority="320">
      <formula>E$9&gt;=20/24</formula>
    </cfRule>
    <cfRule type="expression" dxfId="3188" priority="321">
      <formula>AND(E$9&gt;=14/24,E$9&lt;20/24)</formula>
    </cfRule>
    <cfRule type="expression" dxfId="3187" priority="322">
      <formula>AND(E$9&gt;=8/24,E$9&lt;14/24)</formula>
    </cfRule>
    <cfRule type="expression" dxfId="3186" priority="323">
      <formula>E$9&lt;8/24</formula>
    </cfRule>
  </conditionalFormatting>
  <conditionalFormatting sqref="E53:L53">
    <cfRule type="expression" dxfId="3185" priority="316">
      <formula>E$9&gt;=20/24</formula>
    </cfRule>
    <cfRule type="expression" dxfId="3184" priority="317">
      <formula>AND(E$9&gt;=14/24,E$9&lt;20/24)</formula>
    </cfRule>
    <cfRule type="expression" dxfId="3183" priority="318">
      <formula>AND(E$9&gt;=8/24,E$9&lt;14/24)</formula>
    </cfRule>
    <cfRule type="expression" dxfId="3182" priority="319">
      <formula>E$9&lt;8/24</formula>
    </cfRule>
  </conditionalFormatting>
  <conditionalFormatting sqref="E53:L55 Y46:AF46">
    <cfRule type="expression" dxfId="3181" priority="315">
      <formula>E46&gt;$AG46</formula>
    </cfRule>
  </conditionalFormatting>
  <conditionalFormatting sqref="AG70 AG87 E100:L106 R67:X69">
    <cfRule type="expression" dxfId="3180" priority="311">
      <formula>E$9&gt;=20/24</formula>
    </cfRule>
    <cfRule type="expression" dxfId="3179" priority="312">
      <formula>AND(E$9&gt;=14/24,E$9&lt;20/24)</formula>
    </cfRule>
    <cfRule type="expression" dxfId="3178" priority="313">
      <formula>AND(E$9&gt;=8/24,E$9&lt;14/24)</formula>
    </cfRule>
    <cfRule type="expression" dxfId="3177" priority="314">
      <formula>E$9&lt;8/24</formula>
    </cfRule>
  </conditionalFormatting>
  <conditionalFormatting sqref="AG48 AG66 AG70 R67:X69">
    <cfRule type="expression" dxfId="3176" priority="310">
      <formula>R48&gt;$AG48</formula>
    </cfRule>
  </conditionalFormatting>
  <conditionalFormatting sqref="X58:AF58">
    <cfRule type="expression" dxfId="3175" priority="306">
      <formula>X$9&gt;=20/24</formula>
    </cfRule>
    <cfRule type="expression" dxfId="3174" priority="307">
      <formula>AND(X$9&gt;=14/24,X$9&lt;20/24)</formula>
    </cfRule>
    <cfRule type="expression" dxfId="3173" priority="308">
      <formula>AND(X$9&gt;=8/24,X$9&lt;14/24)</formula>
    </cfRule>
    <cfRule type="expression" dxfId="3172" priority="309">
      <formula>X$9&lt;8/24</formula>
    </cfRule>
  </conditionalFormatting>
  <conditionalFormatting sqref="X58:AF58">
    <cfRule type="expression" dxfId="3171" priority="305">
      <formula>X58&gt;$AG58</formula>
    </cfRule>
  </conditionalFormatting>
  <conditionalFormatting sqref="A43">
    <cfRule type="expression" dxfId="3170" priority="304">
      <formula>$AH43=0</formula>
    </cfRule>
  </conditionalFormatting>
  <conditionalFormatting sqref="X91:AF95">
    <cfRule type="expression" dxfId="3169" priority="300">
      <formula>X$9&gt;=20/24</formula>
    </cfRule>
    <cfRule type="expression" dxfId="3168" priority="301">
      <formula>AND(X$9&gt;=14/24,X$9&lt;20/24)</formula>
    </cfRule>
    <cfRule type="expression" dxfId="3167" priority="302">
      <formula>AND(X$9&gt;=8/24,X$9&lt;14/24)</formula>
    </cfRule>
    <cfRule type="expression" dxfId="3166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E49:S49 E51:N51 N50 O50:S51 T49:AF51">
    <cfRule type="expression" dxfId="3165" priority="296">
      <formula>E$9&gt;=20/24</formula>
    </cfRule>
    <cfRule type="expression" dxfId="3164" priority="297">
      <formula>AND(E$9&gt;=14/24,E$9&lt;20/24)</formula>
    </cfRule>
    <cfRule type="expression" dxfId="3163" priority="298">
      <formula>AND(E$9&gt;=8/24,E$9&lt;14/24)</formula>
    </cfRule>
    <cfRule type="expression" dxfId="3162" priority="299">
      <formula>E$9&lt;8/24</formula>
    </cfRule>
  </conditionalFormatting>
  <conditionalFormatting sqref="E49:S49 E51:N51 N50 O50:S51 T49:AF51">
    <cfRule type="expression" dxfId="3161" priority="295">
      <formula>E49&gt;$AG49</formula>
    </cfRule>
  </conditionalFormatting>
  <conditionalFormatting sqref="AG52">
    <cfRule type="expression" dxfId="3160" priority="291">
      <formula>AG$9&gt;=20/24</formula>
    </cfRule>
    <cfRule type="expression" dxfId="3159" priority="292">
      <formula>AND(AG$9&gt;=14/24,AG$9&lt;20/24)</formula>
    </cfRule>
    <cfRule type="expression" dxfId="3158" priority="293">
      <formula>AND(AG$9&gt;=8/24,AG$9&lt;14/24)</formula>
    </cfRule>
    <cfRule type="expression" dxfId="3157" priority="294">
      <formula>AG$9&lt;8/24</formula>
    </cfRule>
  </conditionalFormatting>
  <conditionalFormatting sqref="AG52">
    <cfRule type="expression" dxfId="3156" priority="290">
      <formula>AG52&gt;$AG52</formula>
    </cfRule>
  </conditionalFormatting>
  <conditionalFormatting sqref="C107:AF107">
    <cfRule type="expression" dxfId="3155" priority="286">
      <formula>C$9&gt;=20/24</formula>
    </cfRule>
    <cfRule type="expression" dxfId="3154" priority="287">
      <formula>AND(C$9&gt;=14/24,C$9&lt;20/24)</formula>
    </cfRule>
    <cfRule type="expression" dxfId="3153" priority="288">
      <formula>AND(C$9&gt;=8/24,C$9&lt;14/24)</formula>
    </cfRule>
    <cfRule type="expression" dxfId="3152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151" priority="284">
      <formula>$AH40=0</formula>
    </cfRule>
  </conditionalFormatting>
  <conditionalFormatting sqref="A90">
    <cfRule type="expression" dxfId="3150" priority="282">
      <formula>$AH90=0</formula>
    </cfRule>
  </conditionalFormatting>
  <conditionalFormatting sqref="A87">
    <cfRule type="expression" dxfId="3149" priority="283">
      <formula>$AH87=0</formula>
    </cfRule>
  </conditionalFormatting>
  <conditionalFormatting sqref="D110:AF110">
    <cfRule type="expression" dxfId="3148" priority="278">
      <formula>D$9&gt;=20/24</formula>
    </cfRule>
    <cfRule type="expression" dxfId="3147" priority="279">
      <formula>AND(D$9&gt;=14/24,D$9&lt;20/24)</formula>
    </cfRule>
    <cfRule type="expression" dxfId="3146" priority="280">
      <formula>AND(D$9&gt;=8/24,D$9&lt;14/24)</formula>
    </cfRule>
    <cfRule type="expression" dxfId="3145" priority="281">
      <formula>D$9&lt;8/24</formula>
    </cfRule>
  </conditionalFormatting>
  <conditionalFormatting sqref="A110">
    <cfRule type="expression" dxfId="3144" priority="277">
      <formula>$AH110=0</formula>
    </cfRule>
  </conditionalFormatting>
  <conditionalFormatting sqref="A21">
    <cfRule type="expression" dxfId="3143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142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E99">
    <cfRule type="expression" dxfId="3141" priority="269">
      <formula>Y$9&gt;=20/24</formula>
    </cfRule>
    <cfRule type="expression" dxfId="3140" priority="270">
      <formula>AND(Y$9&gt;=14/24,Y$9&lt;20/24)</formula>
    </cfRule>
    <cfRule type="expression" dxfId="3139" priority="271">
      <formula>AND(Y$9&gt;=8/24,Y$9&lt;14/24)</formula>
    </cfRule>
    <cfRule type="expression" dxfId="3138" priority="272">
      <formula>Y$9&lt;8/24</formula>
    </cfRule>
  </conditionalFormatting>
  <conditionalFormatting sqref="Y100:AE106">
    <cfRule type="expression" dxfId="3137" priority="265">
      <formula>Y$9&gt;=20/24</formula>
    </cfRule>
    <cfRule type="expression" dxfId="3136" priority="266">
      <formula>AND(Y$9&gt;=14/24,Y$9&lt;20/24)</formula>
    </cfRule>
    <cfRule type="expression" dxfId="3135" priority="267">
      <formula>AND(Y$9&gt;=8/24,Y$9&lt;14/24)</formula>
    </cfRule>
    <cfRule type="expression" dxfId="3134" priority="268">
      <formula>Y$9&lt;8/24</formula>
    </cfRule>
  </conditionalFormatting>
  <conditionalFormatting sqref="C109 C111:C116 L17:X18">
    <cfRule type="expression" dxfId="3133" priority="261">
      <formula>C$9&gt;=20/24</formula>
    </cfRule>
    <cfRule type="expression" dxfId="3132" priority="262">
      <formula>AND(C$9&gt;=14/24,C$9&lt;20/24)</formula>
    </cfRule>
    <cfRule type="expression" dxfId="3131" priority="263">
      <formula>AND(C$9&gt;=8/24,C$9&lt;14/24)</formula>
    </cfRule>
    <cfRule type="expression" dxfId="3130" priority="264">
      <formula>C$9&lt;8/24</formula>
    </cfRule>
  </conditionalFormatting>
  <conditionalFormatting sqref="C47:S47">
    <cfRule type="expression" dxfId="3129" priority="257">
      <formula>C$9&gt;=20/24</formula>
    </cfRule>
    <cfRule type="expression" dxfId="3128" priority="258">
      <formula>AND(C$9&gt;=14/24,C$9&lt;20/24)</formula>
    </cfRule>
    <cfRule type="expression" dxfId="3127" priority="259">
      <formula>AND(C$9&gt;=8/24,C$9&lt;14/24)</formula>
    </cfRule>
    <cfRule type="expression" dxfId="3126" priority="260">
      <formula>C$9&lt;8/24</formula>
    </cfRule>
  </conditionalFormatting>
  <conditionalFormatting sqref="C47:S47 L17:X18">
    <cfRule type="expression" dxfId="3125" priority="256">
      <formula>C17&gt;$AG17</formula>
    </cfRule>
  </conditionalFormatting>
  <conditionalFormatting sqref="C99:D99">
    <cfRule type="expression" dxfId="3124" priority="252">
      <formula>C$9&gt;=20/24</formula>
    </cfRule>
    <cfRule type="expression" dxfId="3123" priority="253">
      <formula>AND(C$9&gt;=14/24,C$9&lt;20/24)</formula>
    </cfRule>
    <cfRule type="expression" dxfId="3122" priority="254">
      <formula>AND(C$9&gt;=8/24,C$9&lt;14/24)</formula>
    </cfRule>
    <cfRule type="expression" dxfId="3121" priority="255">
      <formula>C$9&lt;8/24</formula>
    </cfRule>
  </conditionalFormatting>
  <conditionalFormatting sqref="D54:D55">
    <cfRule type="expression" dxfId="3120" priority="248">
      <formula>D$9&gt;=20/24</formula>
    </cfRule>
    <cfRule type="expression" dxfId="3119" priority="249">
      <formula>AND(D$9&gt;=14/24,D$9&lt;20/24)</formula>
    </cfRule>
    <cfRule type="expression" dxfId="3118" priority="250">
      <formula>AND(D$9&gt;=8/24,D$9&lt;14/24)</formula>
    </cfRule>
    <cfRule type="expression" dxfId="3117" priority="251">
      <formula>D$9&lt;8/24</formula>
    </cfRule>
  </conditionalFormatting>
  <conditionalFormatting sqref="D53">
    <cfRule type="expression" dxfId="3116" priority="244">
      <formula>D$9&gt;=20/24</formula>
    </cfRule>
    <cfRule type="expression" dxfId="3115" priority="245">
      <formula>AND(D$9&gt;=14/24,D$9&lt;20/24)</formula>
    </cfRule>
    <cfRule type="expression" dxfId="3114" priority="246">
      <formula>AND(D$9&gt;=8/24,D$9&lt;14/24)</formula>
    </cfRule>
    <cfRule type="expression" dxfId="3113" priority="247">
      <formula>D$9&lt;8/24</formula>
    </cfRule>
  </conditionalFormatting>
  <conditionalFormatting sqref="D53:D55">
    <cfRule type="expression" dxfId="3112" priority="243">
      <formula>D53&gt;$AG53</formula>
    </cfRule>
  </conditionalFormatting>
  <conditionalFormatting sqref="C86 C100:D106 C96:W96 C83:AF85 E67:Q69 E74:X76 Y75:AF76">
    <cfRule type="expression" dxfId="3111" priority="239">
      <formula>C$9&gt;=20/24</formula>
    </cfRule>
    <cfRule type="expression" dxfId="3110" priority="240">
      <formula>AND(C$9&gt;=14/24,C$9&lt;20/24)</formula>
    </cfRule>
    <cfRule type="expression" dxfId="3109" priority="241">
      <formula>AND(C$9&gt;=8/24,C$9&lt;14/24)</formula>
    </cfRule>
    <cfRule type="expression" dxfId="3108" priority="242">
      <formula>C$9&lt;8/24</formula>
    </cfRule>
  </conditionalFormatting>
  <conditionalFormatting sqref="E56:L56 F57:L57 E67:Q69">
    <cfRule type="expression" dxfId="3107" priority="238">
      <formula>E56&gt;$AG56</formula>
    </cfRule>
  </conditionalFormatting>
  <conditionalFormatting sqref="F58:L58">
    <cfRule type="expression" dxfId="3106" priority="234">
      <formula>F$9&gt;=20/24</formula>
    </cfRule>
    <cfRule type="expression" dxfId="3105" priority="235">
      <formula>AND(F$9&gt;=14/24,F$9&lt;20/24)</formula>
    </cfRule>
    <cfRule type="expression" dxfId="3104" priority="236">
      <formula>AND(F$9&gt;=8/24,F$9&lt;14/24)</formula>
    </cfRule>
    <cfRule type="expression" dxfId="3103" priority="237">
      <formula>F$9&lt;8/24</formula>
    </cfRule>
  </conditionalFormatting>
  <conditionalFormatting sqref="F58:L58">
    <cfRule type="expression" dxfId="3102" priority="233">
      <formula>F58&gt;$AG58</formula>
    </cfRule>
  </conditionalFormatting>
  <conditionalFormatting sqref="B54:C57 D56:D57 B71:D71 E57">
    <cfRule type="expression" dxfId="3101" priority="152">
      <formula>B$9&gt;=20/24</formula>
    </cfRule>
    <cfRule type="expression" dxfId="3100" priority="153">
      <formula>AND(B$9&gt;=14/24,B$9&lt;20/24)</formula>
    </cfRule>
    <cfRule type="expression" dxfId="3099" priority="154">
      <formula>AND(B$9&gt;=8/24,B$9&lt;14/24)</formula>
    </cfRule>
    <cfRule type="expression" dxfId="3098" priority="155">
      <formula>B$9&lt;8/24</formula>
    </cfRule>
  </conditionalFormatting>
  <conditionalFormatting sqref="C70:AF70 C87:AF87 C89:AF89 C98:AF98">
    <cfRule type="expression" dxfId="3097" priority="224">
      <formula>C$9&gt;=20/24</formula>
    </cfRule>
    <cfRule type="expression" dxfId="3096" priority="225">
      <formula>AND(C$9&gt;=14/24,C$9&lt;20/24)</formula>
    </cfRule>
    <cfRule type="expression" dxfId="3095" priority="226">
      <formula>AND(C$9&gt;=8/24,C$9&lt;14/24)</formula>
    </cfRule>
    <cfRule type="expression" dxfId="3094" priority="227">
      <formula>C$9&lt;8/24</formula>
    </cfRule>
  </conditionalFormatting>
  <conditionalFormatting sqref="C65:AF66 C70:AF70 C48:AF48">
    <cfRule type="expression" dxfId="3093" priority="223">
      <formula>C48&gt;$AG48</formula>
    </cfRule>
  </conditionalFormatting>
  <conditionalFormatting sqref="C82:AF82">
    <cfRule type="expression" dxfId="3092" priority="219">
      <formula>C$9&gt;=20/24</formula>
    </cfRule>
    <cfRule type="expression" dxfId="3091" priority="220">
      <formula>AND(C$9&gt;=14/24,C$9&lt;20/24)</formula>
    </cfRule>
    <cfRule type="expression" dxfId="3090" priority="221">
      <formula>AND(C$9&gt;=8/24,C$9&lt;14/24)</formula>
    </cfRule>
    <cfRule type="expression" dxfId="3089" priority="222">
      <formula>C$9&lt;8/24</formula>
    </cfRule>
  </conditionalFormatting>
  <conditionalFormatting sqref="C91:W95">
    <cfRule type="expression" dxfId="3088" priority="215">
      <formula>C$9&gt;=20/24</formula>
    </cfRule>
    <cfRule type="expression" dxfId="3087" priority="216">
      <formula>AND(C$9&gt;=14/24,C$9&lt;20/24)</formula>
    </cfRule>
    <cfRule type="expression" dxfId="3086" priority="217">
      <formula>AND(C$9&gt;=8/24,C$9&lt;14/24)</formula>
    </cfRule>
    <cfRule type="expression" dxfId="3085" priority="218">
      <formula>C$9&lt;8/24</formula>
    </cfRule>
  </conditionalFormatting>
  <conditionalFormatting sqref="D49 D51">
    <cfRule type="expression" dxfId="3084" priority="211">
      <formula>D$9&gt;=20/24</formula>
    </cfRule>
    <cfRule type="expression" dxfId="3083" priority="212">
      <formula>AND(D$9&gt;=14/24,D$9&lt;20/24)</formula>
    </cfRule>
    <cfRule type="expression" dxfId="3082" priority="213">
      <formula>AND(D$9&gt;=8/24,D$9&lt;14/24)</formula>
    </cfRule>
    <cfRule type="expression" dxfId="3081" priority="214">
      <formula>D$9&lt;8/24</formula>
    </cfRule>
  </conditionalFormatting>
  <conditionalFormatting sqref="D49 D51">
    <cfRule type="expression" dxfId="3080" priority="210">
      <formula>D49&gt;$AG49</formula>
    </cfRule>
  </conditionalFormatting>
  <conditionalFormatting sqref="C52:AF52">
    <cfRule type="expression" dxfId="3079" priority="206">
      <formula>C$9&gt;=20/24</formula>
    </cfRule>
    <cfRule type="expression" dxfId="3078" priority="207">
      <formula>AND(C$9&gt;=14/24,C$9&lt;20/24)</formula>
    </cfRule>
    <cfRule type="expression" dxfId="3077" priority="208">
      <formula>AND(C$9&gt;=8/24,C$9&lt;14/24)</formula>
    </cfRule>
    <cfRule type="expression" dxfId="3076" priority="209">
      <formula>C$9&lt;8/24</formula>
    </cfRule>
  </conditionalFormatting>
  <conditionalFormatting sqref="C52:AF52">
    <cfRule type="expression" dxfId="3075" priority="205">
      <formula>C52&gt;$AG52</formula>
    </cfRule>
  </conditionalFormatting>
  <conditionalFormatting sqref="B49:C49 B51:C51 B50:M50">
    <cfRule type="expression" dxfId="3074" priority="120">
      <formula>B$9&gt;=20/24</formula>
    </cfRule>
    <cfRule type="expression" dxfId="3073" priority="121">
      <formula>AND(B$9&gt;=14/24,B$9&lt;20/24)</formula>
    </cfRule>
    <cfRule type="expression" dxfId="3072" priority="122">
      <formula>AND(B$9&gt;=8/24,B$9&lt;14/24)</formula>
    </cfRule>
    <cfRule type="expression" dxfId="3071" priority="123">
      <formula>B$9&lt;8/24</formula>
    </cfRule>
  </conditionalFormatting>
  <conditionalFormatting sqref="C110">
    <cfRule type="expression" dxfId="3070" priority="197">
      <formula>C$9&gt;=20/24</formula>
    </cfRule>
    <cfRule type="expression" dxfId="3069" priority="198">
      <formula>AND(C$9&gt;=14/24,C$9&lt;20/24)</formula>
    </cfRule>
    <cfRule type="expression" dxfId="3068" priority="199">
      <formula>AND(C$9&gt;=8/24,C$9&lt;14/24)</formula>
    </cfRule>
    <cfRule type="expression" dxfId="3067" priority="200">
      <formula>C$9&lt;8/24</formula>
    </cfRule>
  </conditionalFormatting>
  <conditionalFormatting sqref="F59:G59 G60:G64 H59:AF64">
    <cfRule type="expression" dxfId="3066" priority="193">
      <formula>F$9&gt;=20/24</formula>
    </cfRule>
    <cfRule type="expression" dxfId="3065" priority="194">
      <formula>AND(F$9&gt;=14/24,F$9&lt;20/24)</formula>
    </cfRule>
    <cfRule type="expression" dxfId="3064" priority="195">
      <formula>AND(F$9&gt;=8/24,F$9&lt;14/24)</formula>
    </cfRule>
    <cfRule type="expression" dxfId="3063" priority="196">
      <formula>F$9&lt;8/24</formula>
    </cfRule>
  </conditionalFormatting>
  <conditionalFormatting sqref="F59:G59 G60:G64 H59:AF64">
    <cfRule type="expression" dxfId="3062" priority="192">
      <formula>F59&gt;$AG59</formula>
    </cfRule>
  </conditionalFormatting>
  <conditionalFormatting sqref="E13:X15">
    <cfRule type="expression" dxfId="3061" priority="191">
      <formula>E13&gt;$AG13</formula>
    </cfRule>
  </conditionalFormatting>
  <conditionalFormatting sqref="E12:X12">
    <cfRule type="expression" dxfId="3060" priority="187">
      <formula>E$9&gt;=20/24</formula>
    </cfRule>
    <cfRule type="expression" dxfId="3059" priority="188">
      <formula>AND(E$9&gt;=14/24,E$9&lt;20/24)</formula>
    </cfRule>
    <cfRule type="expression" dxfId="3058" priority="189">
      <formula>AND(E$9&gt;=8/24,E$9&lt;14/24)</formula>
    </cfRule>
    <cfRule type="expression" dxfId="3057" priority="190">
      <formula>E$9&lt;8/24</formula>
    </cfRule>
  </conditionalFormatting>
  <conditionalFormatting sqref="E12:X12">
    <cfRule type="expression" dxfId="3056" priority="186">
      <formula>E12&gt;$AG12</formula>
    </cfRule>
  </conditionalFormatting>
  <conditionalFormatting sqref="E13:X15">
    <cfRule type="expression" dxfId="3055" priority="182">
      <formula>E$9&gt;=20/24</formula>
    </cfRule>
    <cfRule type="expression" dxfId="3054" priority="183">
      <formula>AND(E$9&gt;=14/24,E$9&lt;20/24)</formula>
    </cfRule>
    <cfRule type="expression" dxfId="3053" priority="184">
      <formula>AND(E$9&gt;=8/24,E$9&lt;14/24)</formula>
    </cfRule>
    <cfRule type="expression" dxfId="3052" priority="185">
      <formula>E$9&lt;8/24</formula>
    </cfRule>
  </conditionalFormatting>
  <conditionalFormatting sqref="E77:AF81">
    <cfRule type="expression" dxfId="3051" priority="174">
      <formula>E$9&gt;=20/24</formula>
    </cfRule>
    <cfRule type="expression" dxfId="3050" priority="175">
      <formula>AND(E$9&gt;=14/24,E$9&lt;20/24)</formula>
    </cfRule>
    <cfRule type="expression" dxfId="3049" priority="176">
      <formula>AND(E$9&gt;=8/24,E$9&lt;14/24)</formula>
    </cfRule>
    <cfRule type="expression" dxfId="3048" priority="177">
      <formula>E$9&lt;8/24</formula>
    </cfRule>
  </conditionalFormatting>
  <conditionalFormatting sqref="AL78:AN78 AL84:AN84 AN79:AN80">
    <cfRule type="expression" dxfId="3047" priority="170">
      <formula>AL$9&gt;=20/24</formula>
    </cfRule>
    <cfRule type="expression" dxfId="3046" priority="171">
      <formula>AND(AL$9&gt;=14/24,AL$9&lt;20/24)</formula>
    </cfRule>
    <cfRule type="expression" dxfId="3045" priority="172">
      <formula>AND(AL$9&gt;=8/24,AL$9&lt;14/24)</formula>
    </cfRule>
    <cfRule type="expression" dxfId="3044" priority="173">
      <formula>AL$9&lt;8/24</formula>
    </cfRule>
  </conditionalFormatting>
  <conditionalFormatting sqref="AN81:AN82">
    <cfRule type="expression" dxfId="3043" priority="166">
      <formula>AN$9&gt;=20/24</formula>
    </cfRule>
    <cfRule type="expression" dxfId="3042" priority="167">
      <formula>AND(AN$9&gt;=14/24,AN$9&lt;20/24)</formula>
    </cfRule>
    <cfRule type="expression" dxfId="3041" priority="168">
      <formula>AND(AN$9&gt;=8/24,AN$9&lt;14/24)</formula>
    </cfRule>
    <cfRule type="expression" dxfId="3040" priority="169">
      <formula>AN$9&lt;8/24</formula>
    </cfRule>
  </conditionalFormatting>
  <conditionalFormatting sqref="AL79:AM83">
    <cfRule type="expression" dxfId="3039" priority="402">
      <formula>AJ$9&gt;=20/24</formula>
    </cfRule>
    <cfRule type="expression" dxfId="3038" priority="403">
      <formula>AND(AJ$9&gt;=14/24,AJ$9&lt;20/24)</formula>
    </cfRule>
    <cfRule type="expression" dxfId="3037" priority="404">
      <formula>AND(AJ$9&gt;=8/24,AJ$9&lt;14/24)</formula>
    </cfRule>
    <cfRule type="expression" dxfId="3036" priority="405">
      <formula>AJ$9&lt;8/24</formula>
    </cfRule>
  </conditionalFormatting>
  <conditionalFormatting sqref="A117">
    <cfRule type="expression" dxfId="3035" priority="165">
      <formula>$AH117=0</formula>
    </cfRule>
  </conditionalFormatting>
  <conditionalFormatting sqref="B109 B111:B116 B12:D15 B17:K32 L19:X32 B34:X43 B45:X45">
    <cfRule type="expression" dxfId="3034" priority="161">
      <formula>B$9&gt;=20/24</formula>
    </cfRule>
    <cfRule type="expression" dxfId="3033" priority="162">
      <formula>AND(B$9&gt;=14/24,B$9&lt;20/24)</formula>
    </cfRule>
    <cfRule type="expression" dxfId="3032" priority="163">
      <formula>AND(B$9&gt;=8/24,B$9&lt;14/24)</formula>
    </cfRule>
    <cfRule type="expression" dxfId="3031" priority="164">
      <formula>B$9&lt;8/24</formula>
    </cfRule>
  </conditionalFormatting>
  <conditionalFormatting sqref="B12:D15 B17:K32 L19:X32 B34:X43 B45:X45">
    <cfRule type="expression" dxfId="3030" priority="160">
      <formula>B12&gt;$AG12</formula>
    </cfRule>
  </conditionalFormatting>
  <conditionalFormatting sqref="B99">
    <cfRule type="expression" dxfId="3029" priority="156">
      <formula>B$9&gt;=20/24</formula>
    </cfRule>
    <cfRule type="expression" dxfId="3028" priority="157">
      <formula>AND(B$9&gt;=14/24,B$9&lt;20/24)</formula>
    </cfRule>
    <cfRule type="expression" dxfId="3027" priority="158">
      <formula>AND(B$9&gt;=8/24,B$9&lt;14/24)</formula>
    </cfRule>
    <cfRule type="expression" dxfId="3026" priority="159">
      <formula>B$9&lt;8/24</formula>
    </cfRule>
  </conditionalFormatting>
  <conditionalFormatting sqref="B53:C53">
    <cfRule type="expression" dxfId="3025" priority="148">
      <formula>B$9&gt;=20/24</formula>
    </cfRule>
    <cfRule type="expression" dxfId="3024" priority="149">
      <formula>AND(B$9&gt;=14/24,B$9&lt;20/24)</formula>
    </cfRule>
    <cfRule type="expression" dxfId="3023" priority="150">
      <formula>AND(B$9&gt;=8/24,B$9&lt;14/24)</formula>
    </cfRule>
    <cfRule type="expression" dxfId="3022" priority="151">
      <formula>B$9&lt;8/24</formula>
    </cfRule>
  </conditionalFormatting>
  <conditionalFormatting sqref="B53:C57 D56:D57 E57">
    <cfRule type="expression" dxfId="3021" priority="147">
      <formula>B53&gt;$AG53</formula>
    </cfRule>
  </conditionalFormatting>
  <conditionalFormatting sqref="B96 B100:B106 B86 B47 B67:D69 B72:D74">
    <cfRule type="expression" dxfId="3020" priority="143">
      <formula>B$9&gt;=20/24</formula>
    </cfRule>
    <cfRule type="expression" dxfId="3019" priority="144">
      <formula>AND(B$9&gt;=14/24,B$9&lt;20/24)</formula>
    </cfRule>
    <cfRule type="expression" dxfId="3018" priority="145">
      <formula>AND(B$9&gt;=8/24,B$9&lt;14/24)</formula>
    </cfRule>
    <cfRule type="expression" dxfId="3017" priority="146">
      <formula>B$9&lt;8/24</formula>
    </cfRule>
  </conditionalFormatting>
  <conditionalFormatting sqref="B47 B67:D69">
    <cfRule type="expression" dxfId="3016" priority="142">
      <formula>B47&gt;$AG47</formula>
    </cfRule>
  </conditionalFormatting>
  <conditionalFormatting sqref="B97 B88:C88">
    <cfRule type="expression" dxfId="3015" priority="138">
      <formula>B$9&gt;=20/24</formula>
    </cfRule>
    <cfRule type="expression" dxfId="3014" priority="139">
      <formula>AND(B$9&gt;=14/24,B$9&lt;20/24)</formula>
    </cfRule>
    <cfRule type="expression" dxfId="3013" priority="140">
      <formula>AND(B$9&gt;=8/24,B$9&lt;14/24)</formula>
    </cfRule>
    <cfRule type="expression" dxfId="3012" priority="141">
      <formula>B$9&lt;8/24</formula>
    </cfRule>
  </conditionalFormatting>
  <conditionalFormatting sqref="B46:X46">
    <cfRule type="expression" dxfId="3011" priority="134">
      <formula>B$9&gt;=20/24</formula>
    </cfRule>
    <cfRule type="expression" dxfId="3010" priority="135">
      <formula>AND(B$9&gt;=14/24,B$9&lt;20/24)</formula>
    </cfRule>
    <cfRule type="expression" dxfId="3009" priority="136">
      <formula>AND(B$9&gt;=8/24,B$9&lt;14/24)</formula>
    </cfRule>
    <cfRule type="expression" dxfId="3008" priority="137">
      <formula>B$9&lt;8/24</formula>
    </cfRule>
  </conditionalFormatting>
  <conditionalFormatting sqref="B46:X46">
    <cfRule type="expression" dxfId="3007" priority="133">
      <formula>B46&gt;$AG46</formula>
    </cfRule>
  </conditionalFormatting>
  <conditionalFormatting sqref="B58:E58">
    <cfRule type="expression" dxfId="3006" priority="129">
      <formula>B$9&gt;=20/24</formula>
    </cfRule>
    <cfRule type="expression" dxfId="3005" priority="130">
      <formula>AND(B$9&gt;=14/24,B$9&lt;20/24)</formula>
    </cfRule>
    <cfRule type="expression" dxfId="3004" priority="131">
      <formula>AND(B$9&gt;=8/24,B$9&lt;14/24)</formula>
    </cfRule>
    <cfRule type="expression" dxfId="3003" priority="132">
      <formula>B$9&lt;8/24</formula>
    </cfRule>
  </conditionalFormatting>
  <conditionalFormatting sqref="B58:E58">
    <cfRule type="expression" dxfId="3002" priority="128">
      <formula>B58&gt;$AG58</formula>
    </cfRule>
  </conditionalFormatting>
  <conditionalFormatting sqref="B91:B95">
    <cfRule type="expression" dxfId="3001" priority="124">
      <formula>B$9&gt;=20/24</formula>
    </cfRule>
    <cfRule type="expression" dxfId="3000" priority="125">
      <formula>AND(B$9&gt;=14/24,B$9&lt;20/24)</formula>
    </cfRule>
    <cfRule type="expression" dxfId="2999" priority="126">
      <formula>AND(B$9&gt;=8/24,B$9&lt;14/24)</formula>
    </cfRule>
    <cfRule type="expression" dxfId="2998" priority="127">
      <formula>B$9&lt;8/24</formula>
    </cfRule>
  </conditionalFormatting>
  <conditionalFormatting sqref="B49:C49 B51:C51 B50:M50">
    <cfRule type="expression" dxfId="2997" priority="119">
      <formula>B49&gt;$AG49</formula>
    </cfRule>
  </conditionalFormatting>
  <conditionalFormatting sqref="B107">
    <cfRule type="expression" dxfId="2996" priority="115">
      <formula>B$9&gt;=20/24</formula>
    </cfRule>
    <cfRule type="expression" dxfId="2995" priority="116">
      <formula>AND(B$9&gt;=14/24,B$9&lt;20/24)</formula>
    </cfRule>
    <cfRule type="expression" dxfId="2994" priority="117">
      <formula>AND(B$9&gt;=8/24,B$9&lt;14/24)</formula>
    </cfRule>
    <cfRule type="expression" dxfId="2993" priority="118">
      <formula>B$9&lt;8/24</formula>
    </cfRule>
  </conditionalFormatting>
  <conditionalFormatting sqref="B110">
    <cfRule type="expression" dxfId="2992" priority="111">
      <formula>B$9&gt;=20/24</formula>
    </cfRule>
    <cfRule type="expression" dxfId="2991" priority="112">
      <formula>AND(B$9&gt;=14/24,B$9&lt;20/24)</formula>
    </cfRule>
    <cfRule type="expression" dxfId="2990" priority="113">
      <formula>AND(B$9&gt;=8/24,B$9&lt;14/24)</formula>
    </cfRule>
    <cfRule type="expression" dxfId="2989" priority="114">
      <formula>B$9&lt;8/24</formula>
    </cfRule>
  </conditionalFormatting>
  <conditionalFormatting sqref="B83:B85 B75:D76">
    <cfRule type="expression" dxfId="2988" priority="107">
      <formula>B$9&gt;=20/24</formula>
    </cfRule>
    <cfRule type="expression" dxfId="2987" priority="108">
      <formula>AND(B$9&gt;=14/24,B$9&lt;20/24)</formula>
    </cfRule>
    <cfRule type="expression" dxfId="2986" priority="109">
      <formula>AND(B$9&gt;=8/24,B$9&lt;14/24)</formula>
    </cfRule>
    <cfRule type="expression" dxfId="2985" priority="110">
      <formula>B$9&lt;8/24</formula>
    </cfRule>
  </conditionalFormatting>
  <conditionalFormatting sqref="B89 B98 B70 B87">
    <cfRule type="expression" dxfId="2984" priority="103">
      <formula>B$9&gt;=20/24</formula>
    </cfRule>
    <cfRule type="expression" dxfId="2983" priority="104">
      <formula>AND(B$9&gt;=14/24,B$9&lt;20/24)</formula>
    </cfRule>
    <cfRule type="expression" dxfId="2982" priority="105">
      <formula>AND(B$9&gt;=8/24,B$9&lt;14/24)</formula>
    </cfRule>
    <cfRule type="expression" dxfId="2981" priority="106">
      <formula>B$9&lt;8/24</formula>
    </cfRule>
  </conditionalFormatting>
  <conditionalFormatting sqref="B48 B65:B66 B70">
    <cfRule type="expression" dxfId="2980" priority="102">
      <formula>B48&gt;$AG48</formula>
    </cfRule>
  </conditionalFormatting>
  <conditionalFormatting sqref="B82">
    <cfRule type="expression" dxfId="2979" priority="98">
      <formula>B$9&gt;=20/24</formula>
    </cfRule>
    <cfRule type="expression" dxfId="2978" priority="99">
      <formula>AND(B$9&gt;=14/24,B$9&lt;20/24)</formula>
    </cfRule>
    <cfRule type="expression" dxfId="2977" priority="100">
      <formula>AND(B$9&gt;=8/24,B$9&lt;14/24)</formula>
    </cfRule>
    <cfRule type="expression" dxfId="2976" priority="101">
      <formula>B$9&lt;8/24</formula>
    </cfRule>
  </conditionalFormatting>
  <conditionalFormatting sqref="B52">
    <cfRule type="expression" dxfId="2975" priority="94">
      <formula>B$9&gt;=20/24</formula>
    </cfRule>
    <cfRule type="expression" dxfId="2974" priority="95">
      <formula>AND(B$9&gt;=14/24,B$9&lt;20/24)</formula>
    </cfRule>
    <cfRule type="expression" dxfId="2973" priority="96">
      <formula>AND(B$9&gt;=8/24,B$9&lt;14/24)</formula>
    </cfRule>
    <cfRule type="expression" dxfId="2972" priority="97">
      <formula>B$9&lt;8/24</formula>
    </cfRule>
  </conditionalFormatting>
  <conditionalFormatting sqref="B52">
    <cfRule type="expression" dxfId="2971" priority="93">
      <formula>B52&gt;$AG52</formula>
    </cfRule>
  </conditionalFormatting>
  <conditionalFormatting sqref="B59:E64 F60:F64">
    <cfRule type="expression" dxfId="2970" priority="85">
      <formula>B$9&gt;=20/24</formula>
    </cfRule>
    <cfRule type="expression" dxfId="2969" priority="86">
      <formula>AND(B$9&gt;=14/24,B$9&lt;20/24)</formula>
    </cfRule>
    <cfRule type="expression" dxfId="2968" priority="87">
      <formula>AND(B$9&gt;=8/24,B$9&lt;14/24)</formula>
    </cfRule>
    <cfRule type="expression" dxfId="2967" priority="88">
      <formula>B$9&lt;8/24</formula>
    </cfRule>
  </conditionalFormatting>
  <conditionalFormatting sqref="B59:E64 F60:F64">
    <cfRule type="expression" dxfId="2966" priority="84">
      <formula>B59&gt;$AG59</formula>
    </cfRule>
  </conditionalFormatting>
  <conditionalFormatting sqref="B77:D81">
    <cfRule type="expression" dxfId="2965" priority="80">
      <formula>B$9&gt;=20/24</formula>
    </cfRule>
    <cfRule type="expression" dxfId="2964" priority="81">
      <formula>AND(B$9&gt;=14/24,B$9&lt;20/24)</formula>
    </cfRule>
    <cfRule type="expression" dxfId="2963" priority="82">
      <formula>AND(B$9&gt;=8/24,B$9&lt;14/24)</formula>
    </cfRule>
    <cfRule type="expression" dxfId="2962" priority="83">
      <formula>B$9&lt;8/24</formula>
    </cfRule>
  </conditionalFormatting>
  <conditionalFormatting sqref="Y11:AF11">
    <cfRule type="expression" dxfId="2961" priority="76">
      <formula>Y$9&gt;=20/24</formula>
    </cfRule>
    <cfRule type="expression" dxfId="2960" priority="77">
      <formula>AND(Y$9&gt;=14/24,Y$9&lt;20/24)</formula>
    </cfRule>
    <cfRule type="expression" dxfId="2959" priority="78">
      <formula>AND(Y$9&gt;=8/24,Y$9&lt;14/24)</formula>
    </cfRule>
    <cfRule type="expression" dxfId="2958" priority="79">
      <formula>Y$9&lt;8/24</formula>
    </cfRule>
  </conditionalFormatting>
  <conditionalFormatting sqref="Y11:AF11">
    <cfRule type="expression" dxfId="2957" priority="75">
      <formula>Y11&gt;$AG11</formula>
    </cfRule>
  </conditionalFormatting>
  <conditionalFormatting sqref="A11">
    <cfRule type="expression" dxfId="2956" priority="74">
      <formula>$AH11=0</formula>
    </cfRule>
  </conditionalFormatting>
  <conditionalFormatting sqref="E11:X11">
    <cfRule type="expression" dxfId="2955" priority="70">
      <formula>E$9&gt;=20/24</formula>
    </cfRule>
    <cfRule type="expression" dxfId="2954" priority="71">
      <formula>AND(E$9&gt;=14/24,E$9&lt;20/24)</formula>
    </cfRule>
    <cfRule type="expression" dxfId="2953" priority="72">
      <formula>AND(E$9&gt;=8/24,E$9&lt;14/24)</formula>
    </cfRule>
    <cfRule type="expression" dxfId="2952" priority="73">
      <formula>E$9&lt;8/24</formula>
    </cfRule>
  </conditionalFormatting>
  <conditionalFormatting sqref="E11:X11">
    <cfRule type="expression" dxfId="2951" priority="69">
      <formula>E11&gt;$AG11</formula>
    </cfRule>
  </conditionalFormatting>
  <conditionalFormatting sqref="B11:D11">
    <cfRule type="expression" dxfId="2950" priority="65">
      <formula>B$9&gt;=20/24</formula>
    </cfRule>
    <cfRule type="expression" dxfId="2949" priority="66">
      <formula>AND(B$9&gt;=14/24,B$9&lt;20/24)</formula>
    </cfRule>
    <cfRule type="expression" dxfId="2948" priority="67">
      <formula>AND(B$9&gt;=8/24,B$9&lt;14/24)</formula>
    </cfRule>
    <cfRule type="expression" dxfId="2947" priority="68">
      <formula>B$9&lt;8/24</formula>
    </cfRule>
  </conditionalFormatting>
  <conditionalFormatting sqref="B11:D11">
    <cfRule type="expression" dxfId="2946" priority="64">
      <formula>B11&gt;$AG11</formula>
    </cfRule>
  </conditionalFormatting>
  <conditionalFormatting sqref="Y16:AF16">
    <cfRule type="expression" dxfId="2945" priority="59">
      <formula>Y$9&gt;=20/24</formula>
    </cfRule>
    <cfRule type="expression" dxfId="2944" priority="60">
      <formula>AND(Y$9&gt;=14/24,Y$9&lt;20/24)</formula>
    </cfRule>
    <cfRule type="expression" dxfId="2943" priority="61">
      <formula>AND(Y$9&gt;=8/24,Y$9&lt;14/24)</formula>
    </cfRule>
    <cfRule type="expression" dxfId="2942" priority="62">
      <formula>Y$9&lt;8/24</formula>
    </cfRule>
  </conditionalFormatting>
  <conditionalFormatting sqref="Y16:AF16">
    <cfRule type="expression" dxfId="2941" priority="58">
      <formula>Y16&gt;$AG16</formula>
    </cfRule>
  </conditionalFormatting>
  <conditionalFormatting sqref="A16">
    <cfRule type="expression" dxfId="2940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L16:X16">
    <cfRule type="expression" dxfId="2939" priority="53">
      <formula>L$9&gt;=20/24</formula>
    </cfRule>
    <cfRule type="expression" dxfId="2938" priority="54">
      <formula>AND(L$9&gt;=14/24,L$9&lt;20/24)</formula>
    </cfRule>
    <cfRule type="expression" dxfId="2937" priority="55">
      <formula>AND(L$9&gt;=8/24,L$9&lt;14/24)</formula>
    </cfRule>
    <cfRule type="expression" dxfId="2936" priority="56">
      <formula>L$9&lt;8/24</formula>
    </cfRule>
  </conditionalFormatting>
  <conditionalFormatting sqref="L16:X16">
    <cfRule type="expression" dxfId="2935" priority="52">
      <formula>L16&gt;$AG16</formula>
    </cfRule>
  </conditionalFormatting>
  <conditionalFormatting sqref="B16:K16">
    <cfRule type="expression" dxfId="2934" priority="48">
      <formula>B$9&gt;=20/24</formula>
    </cfRule>
    <cfRule type="expression" dxfId="2933" priority="49">
      <formula>AND(B$9&gt;=14/24,B$9&lt;20/24)</formula>
    </cfRule>
    <cfRule type="expression" dxfId="2932" priority="50">
      <formula>AND(B$9&gt;=8/24,B$9&lt;14/24)</formula>
    </cfRule>
    <cfRule type="expression" dxfId="2931" priority="51">
      <formula>B$9&lt;8/24</formula>
    </cfRule>
  </conditionalFormatting>
  <conditionalFormatting sqref="B16:K16">
    <cfRule type="expression" dxfId="2930" priority="47">
      <formula>B16&gt;$AG16</formula>
    </cfRule>
  </conditionalFormatting>
  <conditionalFormatting sqref="Y33:AF33">
    <cfRule type="expression" dxfId="2929" priority="42">
      <formula>Y$9&gt;=20/24</formula>
    </cfRule>
    <cfRule type="expression" dxfId="2928" priority="43">
      <formula>AND(Y$9&gt;=14/24,Y$9&lt;20/24)</formula>
    </cfRule>
    <cfRule type="expression" dxfId="2927" priority="44">
      <formula>AND(Y$9&gt;=8/24,Y$9&lt;14/24)</formula>
    </cfRule>
    <cfRule type="expression" dxfId="2926" priority="45">
      <formula>Y$9&lt;8/24</formula>
    </cfRule>
  </conditionalFormatting>
  <conditionalFormatting sqref="Y33:AF33">
    <cfRule type="expression" dxfId="2925" priority="41">
      <formula>Y33&gt;$AG33</formula>
    </cfRule>
  </conditionalFormatting>
  <conditionalFormatting sqref="A33">
    <cfRule type="expression" dxfId="2924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X33">
    <cfRule type="expression" dxfId="2923" priority="31">
      <formula>B$9&gt;=20/24</formula>
    </cfRule>
    <cfRule type="expression" dxfId="2922" priority="32">
      <formula>AND(B$9&gt;=14/24,B$9&lt;20/24)</formula>
    </cfRule>
    <cfRule type="expression" dxfId="2921" priority="33">
      <formula>AND(B$9&gt;=8/24,B$9&lt;14/24)</formula>
    </cfRule>
    <cfRule type="expression" dxfId="2920" priority="34">
      <formula>B$9&lt;8/24</formula>
    </cfRule>
  </conditionalFormatting>
  <conditionalFormatting sqref="B33:X33">
    <cfRule type="expression" dxfId="2919" priority="30">
      <formula>B33&gt;$AG33</formula>
    </cfRule>
  </conditionalFormatting>
  <conditionalFormatting sqref="Y44:AF44">
    <cfRule type="expression" dxfId="2918" priority="25">
      <formula>Y$9&gt;=20/24</formula>
    </cfRule>
    <cfRule type="expression" dxfId="2917" priority="26">
      <formula>AND(Y$9&gt;=14/24,Y$9&lt;20/24)</formula>
    </cfRule>
    <cfRule type="expression" dxfId="2916" priority="27">
      <formula>AND(Y$9&gt;=8/24,Y$9&lt;14/24)</formula>
    </cfRule>
    <cfRule type="expression" dxfId="2915" priority="28">
      <formula>Y$9&lt;8/24</formula>
    </cfRule>
  </conditionalFormatting>
  <conditionalFormatting sqref="Y44:AF44">
    <cfRule type="expression" dxfId="2914" priority="24">
      <formula>Y44&gt;$AG44</formula>
    </cfRule>
  </conditionalFormatting>
  <conditionalFormatting sqref="A44">
    <cfRule type="expression" dxfId="2913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X44">
    <cfRule type="expression" dxfId="2912" priority="14">
      <formula>B$9&gt;=20/24</formula>
    </cfRule>
    <cfRule type="expression" dxfId="2911" priority="15">
      <formula>AND(B$9&gt;=14/24,B$9&lt;20/24)</formula>
    </cfRule>
    <cfRule type="expression" dxfId="2910" priority="16">
      <formula>AND(B$9&gt;=8/24,B$9&lt;14/24)</formula>
    </cfRule>
    <cfRule type="expression" dxfId="2909" priority="17">
      <formula>B$9&lt;8/24</formula>
    </cfRule>
  </conditionalFormatting>
  <conditionalFormatting sqref="B44:X44">
    <cfRule type="expression" dxfId="2908" priority="13">
      <formula>B44&gt;$AG44</formula>
    </cfRule>
  </conditionalFormatting>
  <conditionalFormatting sqref="B117">
    <cfRule type="expression" dxfId="2907" priority="1">
      <formula>B$9&gt;=20/24</formula>
    </cfRule>
    <cfRule type="expression" dxfId="2906" priority="2">
      <formula>AND(B$9&gt;=14/24,B$9&lt;20/24)</formula>
    </cfRule>
    <cfRule type="expression" dxfId="2905" priority="3">
      <formula>AND(B$9&gt;=8/24,B$9&lt;14/24)</formula>
    </cfRule>
    <cfRule type="expression" dxfId="2904" priority="4">
      <formula>B$9&lt;8/24</formula>
    </cfRule>
  </conditionalFormatting>
  <conditionalFormatting sqref="D117:AF117">
    <cfRule type="expression" dxfId="2903" priority="9">
      <formula>D$9&gt;=20/24</formula>
    </cfRule>
    <cfRule type="expression" dxfId="2902" priority="10">
      <formula>AND(D$9&gt;=14/24,D$9&lt;20/24)</formula>
    </cfRule>
    <cfRule type="expression" dxfId="2901" priority="11">
      <formula>AND(D$9&gt;=8/24,D$9&lt;14/24)</formula>
    </cfRule>
    <cfRule type="expression" dxfId="2900" priority="12">
      <formula>D$9&lt;8/24</formula>
    </cfRule>
  </conditionalFormatting>
  <conditionalFormatting sqref="C117">
    <cfRule type="expression" dxfId="2899" priority="5">
      <formula>C$9&gt;=20/24</formula>
    </cfRule>
    <cfRule type="expression" dxfId="2898" priority="6">
      <formula>AND(C$9&gt;=14/24,C$9&lt;20/24)</formula>
    </cfRule>
    <cfRule type="expression" dxfId="2897" priority="7">
      <formula>AND(C$9&gt;=8/24,C$9&lt;14/24)</formula>
    </cfRule>
    <cfRule type="expression" dxfId="289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AF469A52-D4BD-4BEC-B9A8-798366F1628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2F89764C-8094-448D-8693-1AFD9C85916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3AB977B8-400E-4CBA-8A60-40DF18F2C42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7B5400CF-08A9-4197-82F3-A8D2BE4E5A6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F662ABBB-96AA-4996-9EC0-8693A7D7D31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8D29135D-F5E8-48C8-91DC-6EE53064072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0EC2396D-253F-42E0-AD5B-60B1F983C66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8E08E150-1E5A-4435-874A-53C4575E5F9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8"/>
  <sheetViews>
    <sheetView zoomScale="90" zoomScaleNormal="90" workbookViewId="0">
      <pane ySplit="10" topLeftCell="A63" activePane="bottomLeft" state="frozen"/>
      <selection activeCell="Z85" sqref="Z85"/>
      <selection pane="bottomLeft" activeCell="AE55" sqref="AE5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7109375" style="1" customWidth="1"/>
    <col min="4" max="4" width="7" style="1" customWidth="1"/>
    <col min="5" max="5" width="7.28515625" style="1" customWidth="1"/>
    <col min="6" max="6" width="7.85546875" style="1" customWidth="1"/>
    <col min="7" max="7" width="7.42578125" style="1" customWidth="1"/>
    <col min="8" max="9" width="6.42578125" style="1" bestFit="1" customWidth="1"/>
    <col min="10" max="10" width="7.5703125" style="1" customWidth="1"/>
    <col min="11" max="11" width="8" style="1" customWidth="1"/>
    <col min="12" max="12" width="7.57031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2079/11/27</v>
      </c>
      <c r="C4" s="208"/>
      <c r="D4" s="208"/>
      <c r="E4" s="209" t="str">
        <f ca="1">"2079/"&amp;"11/"&amp;INT(MID(CELL("filename",G6),FIND("]",CELL("filename",G6))+1,200))</f>
        <v>2079/11/27</v>
      </c>
      <c r="F4" s="209"/>
      <c r="G4" s="209"/>
      <c r="H4" s="209" t="str">
        <f ca="1">TEXT(E4,"dddd")</f>
        <v>Monday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447</v>
      </c>
      <c r="C5" s="30">
        <f t="shared" si="0"/>
        <v>435</v>
      </c>
      <c r="D5" s="30">
        <f t="shared" si="0"/>
        <v>445</v>
      </c>
      <c r="E5" s="30">
        <f t="shared" si="0"/>
        <v>411</v>
      </c>
      <c r="F5" s="30">
        <f t="shared" si="0"/>
        <v>469</v>
      </c>
      <c r="G5" s="30">
        <f t="shared" si="0"/>
        <v>473</v>
      </c>
      <c r="H5" s="30">
        <f t="shared" si="0"/>
        <v>480</v>
      </c>
      <c r="I5" s="30">
        <f t="shared" si="0"/>
        <v>429.9</v>
      </c>
      <c r="J5" s="30">
        <f t="shared" si="0"/>
        <v>434.9</v>
      </c>
      <c r="K5" s="30">
        <f t="shared" si="0"/>
        <v>437</v>
      </c>
      <c r="L5" s="30">
        <f t="shared" si="0"/>
        <v>439.7</v>
      </c>
      <c r="M5" s="30">
        <f t="shared" si="0"/>
        <v>481</v>
      </c>
      <c r="N5" s="30">
        <f t="shared" si="0"/>
        <v>482.7</v>
      </c>
      <c r="O5" s="30">
        <f t="shared" si="0"/>
        <v>506.3</v>
      </c>
      <c r="P5" s="30">
        <f t="shared" si="0"/>
        <v>500.1</v>
      </c>
      <c r="Q5" s="30">
        <f t="shared" si="0"/>
        <v>522.29999999999995</v>
      </c>
      <c r="R5" s="30">
        <f t="shared" si="0"/>
        <v>477.9</v>
      </c>
      <c r="S5" s="30">
        <f t="shared" si="0"/>
        <v>569.09999999999991</v>
      </c>
      <c r="T5" s="30">
        <f t="shared" si="0"/>
        <v>564</v>
      </c>
      <c r="U5" s="30">
        <f t="shared" si="0"/>
        <v>552</v>
      </c>
      <c r="V5" s="30">
        <f t="shared" si="0"/>
        <v>533.20000000000005</v>
      </c>
      <c r="W5" s="30">
        <f t="shared" si="0"/>
        <v>518.20000000000005</v>
      </c>
      <c r="X5" s="30">
        <f t="shared" si="0"/>
        <v>539.20000000000005</v>
      </c>
      <c r="Y5" s="30">
        <f t="shared" si="0"/>
        <v>514.20000000000005</v>
      </c>
      <c r="Z5" s="30">
        <f t="shared" si="0"/>
        <v>483.59999999999997</v>
      </c>
      <c r="AA5" s="30">
        <f t="shared" si="0"/>
        <v>469.69999999999993</v>
      </c>
      <c r="AB5" s="30">
        <f t="shared" si="0"/>
        <v>495.3</v>
      </c>
      <c r="AC5" s="30">
        <f t="shared" si="0"/>
        <v>526.4</v>
      </c>
      <c r="AD5" s="30">
        <f t="shared" si="0"/>
        <v>496.4</v>
      </c>
      <c r="AE5" s="30">
        <f t="shared" si="0"/>
        <v>500.4</v>
      </c>
      <c r="AF5" s="30">
        <f>B82</f>
        <v>460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1357MW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Load=958</v>
      </c>
      <c r="B7" s="35">
        <f t="shared" ref="B7:AF7" si="1">B89</f>
        <v>1070.04</v>
      </c>
      <c r="C7" s="35">
        <f t="shared" si="1"/>
        <v>1037.04</v>
      </c>
      <c r="D7" s="35">
        <f t="shared" si="1"/>
        <v>1005.04</v>
      </c>
      <c r="E7" s="35">
        <f t="shared" si="1"/>
        <v>990.04</v>
      </c>
      <c r="F7" s="35">
        <f t="shared" si="1"/>
        <v>958.04</v>
      </c>
      <c r="G7" s="35">
        <f t="shared" si="1"/>
        <v>1016.04</v>
      </c>
      <c r="H7" s="35">
        <f t="shared" si="1"/>
        <v>1043.04</v>
      </c>
      <c r="I7" s="35">
        <f t="shared" si="1"/>
        <v>1080.04</v>
      </c>
      <c r="J7" s="35">
        <f t="shared" si="1"/>
        <v>1180.94</v>
      </c>
      <c r="K7" s="35">
        <f t="shared" si="1"/>
        <v>1249.94</v>
      </c>
      <c r="L7" s="35">
        <f t="shared" si="1"/>
        <v>1323.44</v>
      </c>
      <c r="M7" s="35">
        <f t="shared" si="1"/>
        <v>1357.1399999999999</v>
      </c>
      <c r="N7" s="35">
        <f>N89</f>
        <v>1335.6399999999999</v>
      </c>
      <c r="O7" s="35">
        <f t="shared" si="1"/>
        <v>1284.94</v>
      </c>
      <c r="P7" s="35">
        <f t="shared" si="1"/>
        <v>1159.04</v>
      </c>
      <c r="Q7" s="35">
        <f t="shared" si="1"/>
        <v>1140.8400000000001</v>
      </c>
      <c r="R7" s="35">
        <f t="shared" si="1"/>
        <v>1126.3399999999999</v>
      </c>
      <c r="S7" s="35">
        <f t="shared" si="1"/>
        <v>1242.04</v>
      </c>
      <c r="T7" s="35">
        <f t="shared" si="1"/>
        <v>1269.04</v>
      </c>
      <c r="U7" s="35">
        <f t="shared" si="1"/>
        <v>1267.1399999999999</v>
      </c>
      <c r="V7" s="35">
        <f t="shared" si="1"/>
        <v>1262.8400000000001</v>
      </c>
      <c r="W7" s="35">
        <f t="shared" si="1"/>
        <v>1253.04</v>
      </c>
      <c r="X7" s="35">
        <f t="shared" si="1"/>
        <v>1289.24</v>
      </c>
      <c r="Y7" s="35">
        <f t="shared" si="1"/>
        <v>1404.94</v>
      </c>
      <c r="Z7" s="35">
        <f t="shared" si="1"/>
        <v>1468.94</v>
      </c>
      <c r="AA7" s="35">
        <f t="shared" si="1"/>
        <v>1446.14</v>
      </c>
      <c r="AB7" s="35">
        <f t="shared" si="1"/>
        <v>1383.2399999999998</v>
      </c>
      <c r="AC7" s="35">
        <f t="shared" si="1"/>
        <v>1394.54</v>
      </c>
      <c r="AD7" s="35">
        <f t="shared" si="1"/>
        <v>1219.04</v>
      </c>
      <c r="AE7" s="35">
        <f t="shared" si="1"/>
        <v>1124.54</v>
      </c>
      <c r="AF7" s="35">
        <f t="shared" si="1"/>
        <v>1072.3399999999999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20</v>
      </c>
      <c r="C11" s="45">
        <v>20</v>
      </c>
      <c r="D11" s="45">
        <v>20</v>
      </c>
      <c r="E11" s="45">
        <v>20</v>
      </c>
      <c r="F11" s="45">
        <v>20</v>
      </c>
      <c r="G11" s="45">
        <v>20</v>
      </c>
      <c r="H11" s="45">
        <v>20</v>
      </c>
      <c r="I11" s="45">
        <v>20</v>
      </c>
      <c r="J11" s="45">
        <v>20</v>
      </c>
      <c r="K11" s="45">
        <v>20</v>
      </c>
      <c r="L11" s="45">
        <v>20</v>
      </c>
      <c r="M11" s="45">
        <v>20</v>
      </c>
      <c r="N11" s="45">
        <v>20</v>
      </c>
      <c r="O11" s="45">
        <v>20</v>
      </c>
      <c r="P11" s="45">
        <v>20</v>
      </c>
      <c r="Q11" s="45">
        <v>20</v>
      </c>
      <c r="R11" s="45">
        <v>20</v>
      </c>
      <c r="S11" s="45">
        <v>20</v>
      </c>
      <c r="T11" s="45">
        <v>20</v>
      </c>
      <c r="U11" s="45">
        <v>20</v>
      </c>
      <c r="V11" s="45">
        <v>20</v>
      </c>
      <c r="W11" s="45">
        <v>20</v>
      </c>
      <c r="X11" s="45">
        <v>20</v>
      </c>
      <c r="Y11" s="45">
        <v>20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6">
        <v>86</v>
      </c>
      <c r="AH11" s="47">
        <f t="shared" ref="AH11:AH74" si="2">MAX(B11:AF11)</f>
        <v>20</v>
      </c>
      <c r="AI11" s="48">
        <f t="shared" ref="AI11:AI74" si="3">MIN(B11:AF11)</f>
        <v>20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13.5</v>
      </c>
      <c r="C12" s="45">
        <v>13.5</v>
      </c>
      <c r="D12" s="45">
        <v>13.5</v>
      </c>
      <c r="E12" s="45">
        <v>13.5</v>
      </c>
      <c r="F12" s="45">
        <v>13.5</v>
      </c>
      <c r="G12" s="45">
        <v>13.5</v>
      </c>
      <c r="H12" s="45">
        <v>13.5</v>
      </c>
      <c r="I12" s="45">
        <v>13.5</v>
      </c>
      <c r="J12" s="45">
        <v>13.5</v>
      </c>
      <c r="K12" s="45">
        <v>13.5</v>
      </c>
      <c r="L12" s="45">
        <v>13.5</v>
      </c>
      <c r="M12" s="45">
        <v>13.5</v>
      </c>
      <c r="N12" s="45">
        <v>13.5</v>
      </c>
      <c r="O12" s="45">
        <v>13.5</v>
      </c>
      <c r="P12" s="45">
        <v>13.5</v>
      </c>
      <c r="Q12" s="45">
        <v>13.5</v>
      </c>
      <c r="R12" s="45">
        <v>13.5</v>
      </c>
      <c r="S12" s="45">
        <v>13.5</v>
      </c>
      <c r="T12" s="45">
        <v>13.5</v>
      </c>
      <c r="U12" s="45">
        <v>13.5</v>
      </c>
      <c r="V12" s="45">
        <v>13.5</v>
      </c>
      <c r="W12" s="45">
        <v>13.5</v>
      </c>
      <c r="X12" s="45">
        <v>13.5</v>
      </c>
      <c r="Y12" s="45">
        <v>13.5</v>
      </c>
      <c r="Z12" s="45">
        <v>13.5</v>
      </c>
      <c r="AA12" s="45">
        <v>13.5</v>
      </c>
      <c r="AB12" s="45">
        <v>13.1</v>
      </c>
      <c r="AC12" s="45">
        <v>14.3</v>
      </c>
      <c r="AD12" s="45">
        <v>14.3</v>
      </c>
      <c r="AE12" s="45">
        <v>14.3</v>
      </c>
      <c r="AF12" s="45">
        <v>14.3</v>
      </c>
      <c r="AG12" s="46">
        <v>52.4</v>
      </c>
      <c r="AH12" s="47">
        <f t="shared" si="2"/>
        <v>14.3</v>
      </c>
      <c r="AI12" s="48">
        <f t="shared" si="3"/>
        <v>13.1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28.4</v>
      </c>
      <c r="C13" s="45">
        <v>28.4</v>
      </c>
      <c r="D13" s="45">
        <v>28.4</v>
      </c>
      <c r="E13" s="45">
        <v>28.4</v>
      </c>
      <c r="F13" s="45">
        <v>28.4</v>
      </c>
      <c r="G13" s="45">
        <v>28.4</v>
      </c>
      <c r="H13" s="45">
        <v>28.4</v>
      </c>
      <c r="I13" s="45">
        <v>28.4</v>
      </c>
      <c r="J13" s="45">
        <v>28.4</v>
      </c>
      <c r="K13" s="45">
        <v>28.4</v>
      </c>
      <c r="L13" s="45">
        <v>28.4</v>
      </c>
      <c r="M13" s="45">
        <v>28.4</v>
      </c>
      <c r="N13" s="45">
        <v>28.4</v>
      </c>
      <c r="O13" s="45">
        <v>28.4</v>
      </c>
      <c r="P13" s="45">
        <v>28.4</v>
      </c>
      <c r="Q13" s="45">
        <v>28.4</v>
      </c>
      <c r="R13" s="45">
        <v>28.4</v>
      </c>
      <c r="S13" s="45">
        <v>28.6</v>
      </c>
      <c r="T13" s="45">
        <v>28.6</v>
      </c>
      <c r="U13" s="45">
        <v>28.6</v>
      </c>
      <c r="V13" s="45">
        <v>28.6</v>
      </c>
      <c r="W13" s="45">
        <v>28.6</v>
      </c>
      <c r="X13" s="45">
        <v>28.6</v>
      </c>
      <c r="Y13" s="45">
        <v>28.6</v>
      </c>
      <c r="Z13" s="45">
        <v>28.6</v>
      </c>
      <c r="AA13" s="45">
        <v>28.6</v>
      </c>
      <c r="AB13" s="45">
        <v>29</v>
      </c>
      <c r="AC13" s="45">
        <v>28.9</v>
      </c>
      <c r="AD13" s="45">
        <v>28.9</v>
      </c>
      <c r="AE13" s="45">
        <v>28.9</v>
      </c>
      <c r="AF13" s="45">
        <v>28.9</v>
      </c>
      <c r="AG13" s="50">
        <v>50</v>
      </c>
      <c r="AH13" s="47">
        <f t="shared" si="2"/>
        <v>29</v>
      </c>
      <c r="AI13" s="48">
        <f t="shared" si="3"/>
        <v>28.4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15.6</v>
      </c>
      <c r="C14" s="45">
        <v>15.6</v>
      </c>
      <c r="D14" s="45">
        <v>15.6</v>
      </c>
      <c r="E14" s="45">
        <v>15.6</v>
      </c>
      <c r="F14" s="45">
        <v>15.6</v>
      </c>
      <c r="G14" s="45">
        <v>15.6</v>
      </c>
      <c r="H14" s="45">
        <v>15.6</v>
      </c>
      <c r="I14" s="45">
        <v>15.6</v>
      </c>
      <c r="J14" s="45">
        <v>15.6</v>
      </c>
      <c r="K14" s="45">
        <v>15.6</v>
      </c>
      <c r="L14" s="45">
        <v>15.6</v>
      </c>
      <c r="M14" s="45">
        <v>15.6</v>
      </c>
      <c r="N14" s="45">
        <v>15.6</v>
      </c>
      <c r="O14" s="45">
        <v>15.6</v>
      </c>
      <c r="P14" s="45">
        <v>15.6</v>
      </c>
      <c r="Q14" s="45">
        <v>15.6</v>
      </c>
      <c r="R14" s="45">
        <v>15.6</v>
      </c>
      <c r="S14" s="45">
        <v>15.6</v>
      </c>
      <c r="T14" s="45">
        <v>15.6</v>
      </c>
      <c r="U14" s="45">
        <v>15.6</v>
      </c>
      <c r="V14" s="45">
        <v>15.6</v>
      </c>
      <c r="W14" s="45">
        <v>15.6</v>
      </c>
      <c r="X14" s="45">
        <v>15.6</v>
      </c>
      <c r="Y14" s="45">
        <v>15.6</v>
      </c>
      <c r="Z14" s="45">
        <v>15.6</v>
      </c>
      <c r="AA14" s="45">
        <v>15.6</v>
      </c>
      <c r="AB14" s="45">
        <v>15.9</v>
      </c>
      <c r="AC14" s="45">
        <v>15.4</v>
      </c>
      <c r="AD14" s="45">
        <v>15.4</v>
      </c>
      <c r="AE14" s="45">
        <v>15.4</v>
      </c>
      <c r="AF14" s="45">
        <v>15.4</v>
      </c>
      <c r="AG14" s="50">
        <v>45</v>
      </c>
      <c r="AH14" s="47">
        <f t="shared" si="2"/>
        <v>15.9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7</v>
      </c>
      <c r="C15" s="45">
        <v>7</v>
      </c>
      <c r="D15" s="45">
        <v>7</v>
      </c>
      <c r="E15" s="45">
        <v>7</v>
      </c>
      <c r="F15" s="45">
        <v>7</v>
      </c>
      <c r="G15" s="45">
        <v>7</v>
      </c>
      <c r="H15" s="45">
        <v>7</v>
      </c>
      <c r="I15" s="45">
        <v>7</v>
      </c>
      <c r="J15" s="45">
        <v>7</v>
      </c>
      <c r="K15" s="45">
        <v>7</v>
      </c>
      <c r="L15" s="45">
        <v>7</v>
      </c>
      <c r="M15" s="45">
        <v>7</v>
      </c>
      <c r="N15" s="45">
        <v>7</v>
      </c>
      <c r="O15" s="45">
        <v>7</v>
      </c>
      <c r="P15" s="45">
        <v>7</v>
      </c>
      <c r="Q15" s="45">
        <v>7</v>
      </c>
      <c r="R15" s="45">
        <v>7</v>
      </c>
      <c r="S15" s="45">
        <v>7</v>
      </c>
      <c r="T15" s="45">
        <v>7</v>
      </c>
      <c r="U15" s="45">
        <v>7</v>
      </c>
      <c r="V15" s="45">
        <v>7</v>
      </c>
      <c r="W15" s="45">
        <v>7</v>
      </c>
      <c r="X15" s="45">
        <v>7</v>
      </c>
      <c r="Y15" s="45">
        <v>7</v>
      </c>
      <c r="Z15" s="45">
        <v>7</v>
      </c>
      <c r="AA15" s="45">
        <v>7</v>
      </c>
      <c r="AB15" s="45">
        <v>7.5</v>
      </c>
      <c r="AC15" s="45">
        <v>7.5</v>
      </c>
      <c r="AD15" s="45">
        <v>7.5</v>
      </c>
      <c r="AE15" s="45">
        <v>7.5</v>
      </c>
      <c r="AF15" s="45">
        <v>7.5</v>
      </c>
      <c r="AG15" s="50">
        <v>42</v>
      </c>
      <c r="AH15" s="47">
        <f t="shared" si="2"/>
        <v>7.5</v>
      </c>
      <c r="AI15" s="48">
        <f t="shared" si="3"/>
        <v>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7.8</v>
      </c>
      <c r="C18" s="45">
        <v>7.8</v>
      </c>
      <c r="D18" s="45">
        <v>7.8</v>
      </c>
      <c r="E18" s="45">
        <v>7.8</v>
      </c>
      <c r="F18" s="45">
        <v>7.8</v>
      </c>
      <c r="G18" s="45">
        <v>7.8</v>
      </c>
      <c r="H18" s="45">
        <v>7.8</v>
      </c>
      <c r="I18" s="45">
        <v>7.8</v>
      </c>
      <c r="J18" s="45">
        <v>7.8</v>
      </c>
      <c r="K18" s="45">
        <v>7.8</v>
      </c>
      <c r="L18" s="45">
        <v>7.8</v>
      </c>
      <c r="M18" s="45">
        <v>7.8</v>
      </c>
      <c r="N18" s="45">
        <v>7.8</v>
      </c>
      <c r="O18" s="45">
        <v>7.8</v>
      </c>
      <c r="P18" s="45">
        <v>7.8</v>
      </c>
      <c r="Q18" s="45">
        <v>7.8</v>
      </c>
      <c r="R18" s="45">
        <v>7.8</v>
      </c>
      <c r="S18" s="45">
        <v>7.8</v>
      </c>
      <c r="T18" s="45">
        <v>7.8</v>
      </c>
      <c r="U18" s="45">
        <v>7.8</v>
      </c>
      <c r="V18" s="45">
        <v>7.8</v>
      </c>
      <c r="W18" s="45">
        <v>7.8</v>
      </c>
      <c r="X18" s="45">
        <v>7.8</v>
      </c>
      <c r="Y18" s="45">
        <v>7.8</v>
      </c>
      <c r="Z18" s="45">
        <v>7.8</v>
      </c>
      <c r="AA18" s="45">
        <v>7.8</v>
      </c>
      <c r="AB18" s="45">
        <v>6.5</v>
      </c>
      <c r="AC18" s="45">
        <v>7.1</v>
      </c>
      <c r="AD18" s="45">
        <v>7.1</v>
      </c>
      <c r="AE18" s="45">
        <v>7.1</v>
      </c>
      <c r="AF18" s="45">
        <v>7.1</v>
      </c>
      <c r="AG18" s="51">
        <v>30</v>
      </c>
      <c r="AH18" s="47">
        <f t="shared" si="2"/>
        <v>7.8</v>
      </c>
      <c r="AI18" s="48">
        <f t="shared" si="3"/>
        <v>6.5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>
        <v>7</v>
      </c>
      <c r="O21" s="45">
        <v>7</v>
      </c>
      <c r="P21" s="45">
        <v>7</v>
      </c>
      <c r="Q21" s="45">
        <v>7</v>
      </c>
      <c r="R21" s="45">
        <v>7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7</v>
      </c>
      <c r="AF21" s="45">
        <v>7</v>
      </c>
      <c r="AG21" s="51">
        <v>30</v>
      </c>
      <c r="AH21" s="47">
        <f t="shared" si="2"/>
        <v>7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7.7</v>
      </c>
      <c r="C22" s="45">
        <v>7.7</v>
      </c>
      <c r="D22" s="45">
        <v>7.7</v>
      </c>
      <c r="E22" s="45">
        <v>7.7</v>
      </c>
      <c r="F22" s="45">
        <v>7.7</v>
      </c>
      <c r="G22" s="45">
        <v>7.7</v>
      </c>
      <c r="H22" s="45">
        <v>7.7</v>
      </c>
      <c r="I22" s="45">
        <v>7.7</v>
      </c>
      <c r="J22" s="45">
        <v>7.7</v>
      </c>
      <c r="K22" s="45">
        <v>7.7</v>
      </c>
      <c r="L22" s="45">
        <v>7.7</v>
      </c>
      <c r="M22" s="45">
        <v>7.7</v>
      </c>
      <c r="N22" s="45">
        <v>7.7</v>
      </c>
      <c r="O22" s="45">
        <v>7.7</v>
      </c>
      <c r="P22" s="45">
        <v>7.7</v>
      </c>
      <c r="Q22" s="45">
        <v>7.7</v>
      </c>
      <c r="R22" s="45">
        <v>7.7</v>
      </c>
      <c r="S22" s="45">
        <v>7.7</v>
      </c>
      <c r="T22" s="45">
        <v>7.7</v>
      </c>
      <c r="U22" s="45">
        <v>7.7</v>
      </c>
      <c r="V22" s="45">
        <v>7.7</v>
      </c>
      <c r="W22" s="45">
        <v>7.7</v>
      </c>
      <c r="X22" s="45">
        <v>7.7</v>
      </c>
      <c r="Y22" s="45">
        <v>7.7</v>
      </c>
      <c r="Z22" s="45">
        <v>7.7</v>
      </c>
      <c r="AA22" s="45">
        <v>7.7</v>
      </c>
      <c r="AB22" s="45">
        <v>8.1</v>
      </c>
      <c r="AC22" s="45">
        <v>8.1</v>
      </c>
      <c r="AD22" s="45">
        <v>8.1</v>
      </c>
      <c r="AE22" s="45">
        <v>8.1</v>
      </c>
      <c r="AF22" s="45">
        <v>8.1</v>
      </c>
      <c r="AG22" s="50">
        <v>25</v>
      </c>
      <c r="AH22" s="47">
        <f t="shared" si="2"/>
        <v>8.1</v>
      </c>
      <c r="AI22" s="48">
        <f t="shared" si="3"/>
        <v>7.7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5.9</v>
      </c>
      <c r="C26" s="45">
        <v>5.9</v>
      </c>
      <c r="D26" s="45">
        <v>5.9</v>
      </c>
      <c r="E26" s="45">
        <v>5.9</v>
      </c>
      <c r="F26" s="45">
        <v>5.9</v>
      </c>
      <c r="G26" s="45">
        <v>5.9</v>
      </c>
      <c r="H26" s="45">
        <v>5.9</v>
      </c>
      <c r="I26" s="45">
        <v>5.9</v>
      </c>
      <c r="J26" s="45">
        <v>5.9</v>
      </c>
      <c r="K26" s="45">
        <v>5.9</v>
      </c>
      <c r="L26" s="45">
        <v>5.9</v>
      </c>
      <c r="M26" s="45">
        <v>5.9</v>
      </c>
      <c r="N26" s="45">
        <v>5.9</v>
      </c>
      <c r="O26" s="45">
        <v>5.9</v>
      </c>
      <c r="P26" s="45">
        <v>5.9</v>
      </c>
      <c r="Q26" s="45">
        <v>5.9</v>
      </c>
      <c r="R26" s="45">
        <v>5.9</v>
      </c>
      <c r="S26" s="45">
        <v>5.9</v>
      </c>
      <c r="T26" s="45">
        <v>5.9</v>
      </c>
      <c r="U26" s="45">
        <v>5.9</v>
      </c>
      <c r="V26" s="45">
        <v>5.9</v>
      </c>
      <c r="W26" s="45">
        <v>5.9</v>
      </c>
      <c r="X26" s="45">
        <v>5.9</v>
      </c>
      <c r="Y26" s="45">
        <v>5.9</v>
      </c>
      <c r="Z26" s="45">
        <v>5.9</v>
      </c>
      <c r="AA26" s="45">
        <v>5.9</v>
      </c>
      <c r="AB26" s="45">
        <v>5.9</v>
      </c>
      <c r="AC26" s="45">
        <v>5.9</v>
      </c>
      <c r="AD26" s="45">
        <v>5.9</v>
      </c>
      <c r="AE26" s="45">
        <v>5.9</v>
      </c>
      <c r="AF26" s="45">
        <v>5.9</v>
      </c>
      <c r="AG26" s="50">
        <v>23.5</v>
      </c>
      <c r="AH26" s="47">
        <f t="shared" si="2"/>
        <v>5.9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50">
        <v>22</v>
      </c>
      <c r="AH30" s="47">
        <f t="shared" si="2"/>
        <v>9</v>
      </c>
      <c r="AI30" s="48">
        <f t="shared" si="3"/>
        <v>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7</v>
      </c>
      <c r="U38" s="45">
        <v>7</v>
      </c>
      <c r="V38" s="45">
        <v>7</v>
      </c>
      <c r="W38" s="45">
        <v>7</v>
      </c>
      <c r="X38" s="45">
        <v>7</v>
      </c>
      <c r="Y38" s="45">
        <v>7</v>
      </c>
      <c r="Z38" s="45">
        <v>7</v>
      </c>
      <c r="AA38" s="45">
        <v>7</v>
      </c>
      <c r="AB38" s="45">
        <v>7</v>
      </c>
      <c r="AC38" s="45">
        <v>7</v>
      </c>
      <c r="AD38" s="45">
        <v>7</v>
      </c>
      <c r="AE38" s="45">
        <v>7</v>
      </c>
      <c r="AF38" s="45">
        <v>7</v>
      </c>
      <c r="AG38" s="50">
        <v>12</v>
      </c>
      <c r="AH38" s="47">
        <f t="shared" si="2"/>
        <v>7</v>
      </c>
      <c r="AI38" s="48">
        <f t="shared" si="3"/>
        <v>7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350.5</v>
      </c>
      <c r="C48" s="60">
        <f t="shared" si="4"/>
        <v>350.5</v>
      </c>
      <c r="D48" s="60">
        <f t="shared" si="4"/>
        <v>350.5</v>
      </c>
      <c r="E48" s="60">
        <f t="shared" ref="E48:G48" si="5">SUM(E12:E46)</f>
        <v>350.5</v>
      </c>
      <c r="F48" s="60">
        <f t="shared" si="5"/>
        <v>350.5</v>
      </c>
      <c r="G48" s="60">
        <f t="shared" si="5"/>
        <v>350.5</v>
      </c>
      <c r="H48" s="60">
        <f t="shared" ref="H48:I48" si="6">SUM(H12:H46)</f>
        <v>350.5</v>
      </c>
      <c r="I48" s="60">
        <f t="shared" si="6"/>
        <v>350.5</v>
      </c>
      <c r="J48" s="60">
        <f t="shared" si="4"/>
        <v>350.5</v>
      </c>
      <c r="K48" s="60">
        <f t="shared" ref="K48" si="7">SUM(K12:K46)</f>
        <v>350.5</v>
      </c>
      <c r="L48" s="60">
        <f t="shared" si="4"/>
        <v>350.5</v>
      </c>
      <c r="M48" s="60">
        <f t="shared" si="4"/>
        <v>350.5</v>
      </c>
      <c r="N48" s="60">
        <f t="shared" si="4"/>
        <v>350.5</v>
      </c>
      <c r="O48" s="60">
        <f t="shared" si="4"/>
        <v>350.5</v>
      </c>
      <c r="P48" s="60">
        <f t="shared" si="4"/>
        <v>350.5</v>
      </c>
      <c r="Q48" s="60">
        <f t="shared" si="4"/>
        <v>350.5</v>
      </c>
      <c r="R48" s="60">
        <f t="shared" si="4"/>
        <v>350.5</v>
      </c>
      <c r="S48" s="60">
        <f t="shared" si="4"/>
        <v>350.70000000000005</v>
      </c>
      <c r="T48" s="60">
        <f t="shared" si="4"/>
        <v>350.70000000000005</v>
      </c>
      <c r="U48" s="60">
        <f t="shared" si="4"/>
        <v>350.70000000000005</v>
      </c>
      <c r="V48" s="60">
        <f t="shared" si="4"/>
        <v>350.70000000000005</v>
      </c>
      <c r="W48" s="60">
        <f t="shared" si="4"/>
        <v>350.70000000000005</v>
      </c>
      <c r="X48" s="60">
        <f t="shared" si="4"/>
        <v>350.70000000000005</v>
      </c>
      <c r="Y48" s="60">
        <f t="shared" si="4"/>
        <v>350.70000000000005</v>
      </c>
      <c r="Z48" s="60">
        <f t="shared" si="4"/>
        <v>350.70000000000005</v>
      </c>
      <c r="AA48" s="60">
        <f t="shared" si="4"/>
        <v>350.70000000000005</v>
      </c>
      <c r="AB48" s="60">
        <f t="shared" ref="AB48" si="8">SUM(AB12:AB46)</f>
        <v>350.6</v>
      </c>
      <c r="AC48" s="60">
        <f t="shared" si="4"/>
        <v>351.79999999999995</v>
      </c>
      <c r="AD48" s="60">
        <f t="shared" si="4"/>
        <v>351.79999999999995</v>
      </c>
      <c r="AE48" s="60">
        <f t="shared" si="4"/>
        <v>351.79999999999995</v>
      </c>
      <c r="AF48" s="60">
        <f t="shared" si="4"/>
        <v>351.79999999999995</v>
      </c>
      <c r="AG48" s="61">
        <f t="shared" si="4"/>
        <v>875.68</v>
      </c>
      <c r="AH48" s="47">
        <f t="shared" si="2"/>
        <v>351.79999999999995</v>
      </c>
      <c r="AI48" s="48">
        <f t="shared" si="3"/>
        <v>350.5</v>
      </c>
      <c r="AK48" s="49"/>
    </row>
    <row r="49" spans="1:41" x14ac:dyDescent="0.25">
      <c r="A49" s="62" t="s">
        <v>53</v>
      </c>
      <c r="B49" s="45">
        <v>130</v>
      </c>
      <c r="C49" s="45">
        <v>110</v>
      </c>
      <c r="D49" s="45">
        <v>90</v>
      </c>
      <c r="E49" s="45">
        <v>20</v>
      </c>
      <c r="F49" s="45">
        <v>0</v>
      </c>
      <c r="G49" s="45">
        <v>0</v>
      </c>
      <c r="H49" s="45">
        <v>0</v>
      </c>
      <c r="I49" s="45">
        <v>0</v>
      </c>
      <c r="J49" s="45">
        <v>76</v>
      </c>
      <c r="K49" s="45">
        <v>60</v>
      </c>
      <c r="L49" s="45">
        <v>170</v>
      </c>
      <c r="M49" s="63">
        <v>205</v>
      </c>
      <c r="N49" s="63">
        <v>130</v>
      </c>
      <c r="O49" s="45">
        <v>90</v>
      </c>
      <c r="P49" s="45">
        <v>85</v>
      </c>
      <c r="Q49" s="45">
        <v>70</v>
      </c>
      <c r="R49" s="45">
        <v>30</v>
      </c>
      <c r="S49" s="45">
        <v>80</v>
      </c>
      <c r="T49" s="45">
        <v>15</v>
      </c>
      <c r="U49" s="45">
        <v>15</v>
      </c>
      <c r="V49" s="45">
        <v>15</v>
      </c>
      <c r="W49" s="45">
        <v>20</v>
      </c>
      <c r="X49" s="45">
        <v>40</v>
      </c>
      <c r="Y49" s="45">
        <v>60</v>
      </c>
      <c r="Z49" s="45">
        <v>150</v>
      </c>
      <c r="AA49" s="45">
        <v>170</v>
      </c>
      <c r="AB49" s="45">
        <v>160</v>
      </c>
      <c r="AC49" s="45">
        <v>170</v>
      </c>
      <c r="AD49" s="45">
        <v>140</v>
      </c>
      <c r="AE49" s="45">
        <v>120</v>
      </c>
      <c r="AF49" s="45">
        <v>90</v>
      </c>
      <c r="AG49" s="51">
        <v>456</v>
      </c>
      <c r="AH49" s="47">
        <f t="shared" si="2"/>
        <v>205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25</v>
      </c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25</v>
      </c>
      <c r="Z50" s="65">
        <v>25</v>
      </c>
      <c r="AA50" s="65">
        <v>25</v>
      </c>
      <c r="AB50" s="65">
        <v>25</v>
      </c>
      <c r="AC50" s="65">
        <v>25</v>
      </c>
      <c r="AD50" s="65">
        <v>25</v>
      </c>
      <c r="AE50" s="65">
        <v>25</v>
      </c>
      <c r="AF50" s="65">
        <v>25</v>
      </c>
      <c r="AG50" s="54">
        <v>60</v>
      </c>
      <c r="AH50" s="47">
        <f t="shared" si="2"/>
        <v>25</v>
      </c>
      <c r="AI50" s="48">
        <f t="shared" si="3"/>
        <v>25</v>
      </c>
      <c r="AK50" s="49"/>
    </row>
    <row r="51" spans="1:41" ht="15.75" thickBot="1" x14ac:dyDescent="0.3">
      <c r="A51" s="66" t="s">
        <v>55</v>
      </c>
      <c r="B51" s="67">
        <v>9</v>
      </c>
      <c r="C51" s="67">
        <v>9</v>
      </c>
      <c r="D51" s="67">
        <v>9</v>
      </c>
      <c r="E51" s="67">
        <v>9</v>
      </c>
      <c r="F51" s="67">
        <v>9</v>
      </c>
      <c r="G51" s="67">
        <v>9</v>
      </c>
      <c r="H51" s="67">
        <v>9</v>
      </c>
      <c r="I51" s="67">
        <v>9</v>
      </c>
      <c r="J51" s="67">
        <v>9</v>
      </c>
      <c r="K51" s="67">
        <v>9</v>
      </c>
      <c r="L51" s="67">
        <v>9</v>
      </c>
      <c r="M51" s="67">
        <v>9</v>
      </c>
      <c r="N51" s="67">
        <v>9</v>
      </c>
      <c r="O51" s="67">
        <v>9</v>
      </c>
      <c r="P51" s="67">
        <v>9</v>
      </c>
      <c r="Q51" s="67">
        <v>9</v>
      </c>
      <c r="R51" s="67">
        <v>9</v>
      </c>
      <c r="S51" s="67">
        <v>9</v>
      </c>
      <c r="T51" s="67">
        <v>9</v>
      </c>
      <c r="U51" s="67">
        <v>9</v>
      </c>
      <c r="V51" s="67">
        <v>9</v>
      </c>
      <c r="W51" s="67">
        <v>9</v>
      </c>
      <c r="X51" s="67">
        <v>9</v>
      </c>
      <c r="Y51" s="67">
        <v>9</v>
      </c>
      <c r="Z51" s="67">
        <v>9</v>
      </c>
      <c r="AA51" s="67">
        <v>9</v>
      </c>
      <c r="AB51" s="67">
        <v>10.199999999999999</v>
      </c>
      <c r="AC51" s="67">
        <v>10.199999999999999</v>
      </c>
      <c r="AD51" s="67">
        <v>10.199999999999999</v>
      </c>
      <c r="AE51" s="67">
        <v>10.199999999999999</v>
      </c>
      <c r="AF51" s="67">
        <v>10.199999999999999</v>
      </c>
      <c r="AG51" s="68">
        <v>22.1</v>
      </c>
      <c r="AH51" s="47">
        <f t="shared" si="2"/>
        <v>10.199999999999999</v>
      </c>
      <c r="AI51" s="48">
        <f t="shared" si="3"/>
        <v>9</v>
      </c>
      <c r="AK51" s="49"/>
    </row>
    <row r="52" spans="1:41" ht="15.75" thickBot="1" x14ac:dyDescent="0.3">
      <c r="A52" s="69" t="s">
        <v>56</v>
      </c>
      <c r="B52" s="60">
        <f t="shared" ref="B52:AG52" si="9">SUM(B49:B51)</f>
        <v>164</v>
      </c>
      <c r="C52" s="60">
        <f t="shared" si="9"/>
        <v>144</v>
      </c>
      <c r="D52" s="60">
        <f t="shared" si="9"/>
        <v>124</v>
      </c>
      <c r="E52" s="60">
        <f t="shared" ref="E52:G52" si="10">SUM(E49:E51)</f>
        <v>54</v>
      </c>
      <c r="F52" s="60">
        <f t="shared" si="10"/>
        <v>34</v>
      </c>
      <c r="G52" s="60">
        <f t="shared" si="10"/>
        <v>34</v>
      </c>
      <c r="H52" s="60">
        <f t="shared" ref="H52:I52" si="11">SUM(H49:H51)</f>
        <v>34</v>
      </c>
      <c r="I52" s="60">
        <f t="shared" si="11"/>
        <v>34</v>
      </c>
      <c r="J52" s="60">
        <f t="shared" si="9"/>
        <v>110</v>
      </c>
      <c r="K52" s="60">
        <f t="shared" ref="K52" si="12">SUM(K49:K51)</f>
        <v>94</v>
      </c>
      <c r="L52" s="60">
        <f t="shared" si="9"/>
        <v>204</v>
      </c>
      <c r="M52" s="60">
        <f t="shared" si="9"/>
        <v>239</v>
      </c>
      <c r="N52" s="60">
        <f t="shared" si="9"/>
        <v>164</v>
      </c>
      <c r="O52" s="60">
        <f t="shared" si="9"/>
        <v>124</v>
      </c>
      <c r="P52" s="60">
        <f t="shared" si="9"/>
        <v>119</v>
      </c>
      <c r="Q52" s="60">
        <f t="shared" si="9"/>
        <v>104</v>
      </c>
      <c r="R52" s="60">
        <f t="shared" si="9"/>
        <v>64</v>
      </c>
      <c r="S52" s="60">
        <f t="shared" si="9"/>
        <v>114</v>
      </c>
      <c r="T52" s="60">
        <f t="shared" si="9"/>
        <v>49</v>
      </c>
      <c r="U52" s="60">
        <f t="shared" si="9"/>
        <v>49</v>
      </c>
      <c r="V52" s="60">
        <f t="shared" si="9"/>
        <v>49</v>
      </c>
      <c r="W52" s="60">
        <f t="shared" si="9"/>
        <v>54</v>
      </c>
      <c r="X52" s="60">
        <f t="shared" si="9"/>
        <v>74</v>
      </c>
      <c r="Y52" s="60">
        <f t="shared" si="9"/>
        <v>94</v>
      </c>
      <c r="Z52" s="60">
        <f t="shared" si="9"/>
        <v>184</v>
      </c>
      <c r="AA52" s="60">
        <f t="shared" si="9"/>
        <v>204</v>
      </c>
      <c r="AB52" s="60">
        <f t="shared" ref="AB52" si="13">SUM(AB49:AB51)</f>
        <v>195.2</v>
      </c>
      <c r="AC52" s="60">
        <f t="shared" si="9"/>
        <v>205.2</v>
      </c>
      <c r="AD52" s="60">
        <f t="shared" si="9"/>
        <v>175.2</v>
      </c>
      <c r="AE52" s="60">
        <f t="shared" si="9"/>
        <v>155.19999999999999</v>
      </c>
      <c r="AF52" s="60">
        <f t="shared" si="9"/>
        <v>125.2</v>
      </c>
      <c r="AG52" s="61">
        <f t="shared" si="9"/>
        <v>538.1</v>
      </c>
      <c r="AH52" s="47">
        <f t="shared" si="2"/>
        <v>239</v>
      </c>
      <c r="AI52" s="48">
        <f t="shared" si="3"/>
        <v>34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45</v>
      </c>
      <c r="F53" s="45">
        <v>60</v>
      </c>
      <c r="G53" s="45">
        <v>60</v>
      </c>
      <c r="H53" s="45">
        <v>60</v>
      </c>
      <c r="I53" s="45">
        <v>90</v>
      </c>
      <c r="J53" s="45">
        <v>130</v>
      </c>
      <c r="K53" s="45">
        <v>110</v>
      </c>
      <c r="L53" s="45">
        <v>60</v>
      </c>
      <c r="M53" s="45">
        <v>35.799999999999997</v>
      </c>
      <c r="N53" s="45">
        <v>32.700000000000003</v>
      </c>
      <c r="O53" s="45">
        <v>32.799999999999997</v>
      </c>
      <c r="P53" s="45">
        <v>36.799999999999997</v>
      </c>
      <c r="Q53" s="45">
        <v>38.799999999999997</v>
      </c>
      <c r="R53" s="45">
        <v>36</v>
      </c>
      <c r="S53" s="45">
        <v>35</v>
      </c>
      <c r="T53" s="45">
        <v>35.799999999999997</v>
      </c>
      <c r="U53" s="45">
        <v>39</v>
      </c>
      <c r="V53" s="45">
        <v>43</v>
      </c>
      <c r="W53" s="45">
        <v>49</v>
      </c>
      <c r="X53" s="45">
        <v>100</v>
      </c>
      <c r="Y53" s="45">
        <v>135</v>
      </c>
      <c r="Z53" s="45">
        <v>140</v>
      </c>
      <c r="AA53" s="45">
        <v>105</v>
      </c>
      <c r="AB53" s="45">
        <v>89.4</v>
      </c>
      <c r="AC53" s="45">
        <v>64.2</v>
      </c>
      <c r="AD53" s="45">
        <v>30.4</v>
      </c>
      <c r="AE53" s="45">
        <v>0</v>
      </c>
      <c r="AF53" s="45">
        <v>0</v>
      </c>
      <c r="AG53" s="51">
        <v>144</v>
      </c>
      <c r="AH53" s="47">
        <f t="shared" si="2"/>
        <v>140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16</v>
      </c>
      <c r="C55" s="65">
        <v>16</v>
      </c>
      <c r="D55" s="65">
        <v>16</v>
      </c>
      <c r="E55" s="65">
        <v>16</v>
      </c>
      <c r="F55" s="65">
        <v>23</v>
      </c>
      <c r="G55" s="65">
        <v>23</v>
      </c>
      <c r="H55" s="65">
        <v>46</v>
      </c>
      <c r="I55" s="65">
        <v>46</v>
      </c>
      <c r="J55" s="65">
        <v>65</v>
      </c>
      <c r="K55" s="65">
        <v>65</v>
      </c>
      <c r="L55" s="65">
        <v>65.7</v>
      </c>
      <c r="M55" s="65">
        <v>65.900000000000006</v>
      </c>
      <c r="N55" s="65">
        <v>42.7</v>
      </c>
      <c r="O55" s="65">
        <v>34.200000000000003</v>
      </c>
      <c r="P55" s="65">
        <v>17.100000000000001</v>
      </c>
      <c r="Q55" s="65">
        <v>17</v>
      </c>
      <c r="R55" s="45">
        <v>23.1</v>
      </c>
      <c r="S55" s="45">
        <v>23.4</v>
      </c>
      <c r="T55" s="45">
        <v>23.4</v>
      </c>
      <c r="U55" s="45">
        <v>23.4</v>
      </c>
      <c r="V55" s="45">
        <v>23.4</v>
      </c>
      <c r="W55" s="45">
        <v>23.4</v>
      </c>
      <c r="X55" s="45">
        <v>23.4</v>
      </c>
      <c r="Y55" s="45">
        <v>60</v>
      </c>
      <c r="Z55" s="45">
        <v>60</v>
      </c>
      <c r="AA55" s="45">
        <v>60</v>
      </c>
      <c r="AB55" s="45">
        <v>44.7</v>
      </c>
      <c r="AC55" s="65">
        <v>44.4</v>
      </c>
      <c r="AD55" s="65">
        <v>16.5</v>
      </c>
      <c r="AE55" s="65">
        <v>17.2</v>
      </c>
      <c r="AF55" s="65">
        <v>16.7</v>
      </c>
      <c r="AG55" s="54">
        <v>69</v>
      </c>
      <c r="AH55" s="47">
        <f t="shared" si="2"/>
        <v>65.900000000000006</v>
      </c>
      <c r="AI55" s="48">
        <f t="shared" si="3"/>
        <v>16</v>
      </c>
      <c r="AK55" s="49"/>
    </row>
    <row r="56" spans="1:41" x14ac:dyDescent="0.25">
      <c r="A56" s="53" t="s">
        <v>60</v>
      </c>
      <c r="B56" s="65">
        <v>37.299999999999997</v>
      </c>
      <c r="C56" s="65">
        <v>37.299999999999997</v>
      </c>
      <c r="D56" s="65">
        <v>37.299999999999997</v>
      </c>
      <c r="E56" s="65">
        <v>37.299999999999997</v>
      </c>
      <c r="F56" s="65">
        <v>37.299999999999997</v>
      </c>
      <c r="G56" s="65">
        <v>37.299999999999997</v>
      </c>
      <c r="H56" s="65">
        <v>37.299999999999997</v>
      </c>
      <c r="I56" s="65">
        <v>37.299999999999997</v>
      </c>
      <c r="J56" s="65">
        <v>38.299999999999997</v>
      </c>
      <c r="K56" s="65">
        <v>38.299999999999997</v>
      </c>
      <c r="L56" s="56">
        <v>38</v>
      </c>
      <c r="M56" s="65">
        <v>38</v>
      </c>
      <c r="N56" s="65">
        <v>38</v>
      </c>
      <c r="O56" s="65">
        <v>38</v>
      </c>
      <c r="P56" s="65">
        <v>38</v>
      </c>
      <c r="Q56" s="65">
        <v>38</v>
      </c>
      <c r="R56" s="65">
        <v>38</v>
      </c>
      <c r="S56" s="45">
        <v>37.299999999999997</v>
      </c>
      <c r="T56" s="45">
        <v>37.299999999999997</v>
      </c>
      <c r="U56" s="45">
        <v>37.299999999999997</v>
      </c>
      <c r="V56" s="45">
        <v>37.299999999999997</v>
      </c>
      <c r="W56" s="45">
        <v>37.299999999999997</v>
      </c>
      <c r="X56" s="45">
        <v>37.299999999999997</v>
      </c>
      <c r="Y56" s="45">
        <v>37.299999999999997</v>
      </c>
      <c r="Z56" s="45">
        <v>37.299999999999997</v>
      </c>
      <c r="AA56" s="45">
        <v>35</v>
      </c>
      <c r="AB56" s="45">
        <v>36</v>
      </c>
      <c r="AC56" s="65">
        <v>36</v>
      </c>
      <c r="AD56" s="65">
        <v>36</v>
      </c>
      <c r="AE56" s="65">
        <v>36</v>
      </c>
      <c r="AF56" s="65">
        <v>36</v>
      </c>
      <c r="AG56" s="54">
        <v>60</v>
      </c>
      <c r="AH56" s="47">
        <f t="shared" si="2"/>
        <v>38.299999999999997</v>
      </c>
      <c r="AI56" s="48">
        <f t="shared" si="3"/>
        <v>35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15</v>
      </c>
      <c r="K57" s="65">
        <v>15</v>
      </c>
      <c r="L57" s="56">
        <v>26</v>
      </c>
      <c r="M57" s="65">
        <v>26</v>
      </c>
      <c r="N57" s="65">
        <v>15</v>
      </c>
      <c r="O57" s="65">
        <v>10</v>
      </c>
      <c r="P57" s="65">
        <v>0</v>
      </c>
      <c r="Q57" s="65">
        <v>0</v>
      </c>
      <c r="R57" s="65">
        <v>0</v>
      </c>
      <c r="S57" s="45">
        <v>0</v>
      </c>
      <c r="T57" s="45">
        <v>0</v>
      </c>
      <c r="U57" s="45">
        <v>0</v>
      </c>
      <c r="V57" s="45">
        <v>15</v>
      </c>
      <c r="W57" s="45">
        <v>13</v>
      </c>
      <c r="X57" s="45">
        <v>13</v>
      </c>
      <c r="Y57" s="45">
        <v>13</v>
      </c>
      <c r="Z57" s="45">
        <v>0</v>
      </c>
      <c r="AA57" s="45">
        <v>28.7</v>
      </c>
      <c r="AB57" s="45">
        <v>28.7</v>
      </c>
      <c r="AC57" s="65">
        <v>28.7</v>
      </c>
      <c r="AD57" s="65">
        <v>14.8</v>
      </c>
      <c r="AE57" s="65">
        <v>0</v>
      </c>
      <c r="AF57" s="65">
        <v>0</v>
      </c>
      <c r="AG57" s="54">
        <v>30</v>
      </c>
      <c r="AH57" s="47">
        <f t="shared" si="2"/>
        <v>28.7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11.3</v>
      </c>
      <c r="T58" s="45">
        <v>11.3</v>
      </c>
      <c r="U58" s="45">
        <v>11.3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11.3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15</v>
      </c>
      <c r="R59" s="65">
        <v>15</v>
      </c>
      <c r="S59" s="45">
        <v>15</v>
      </c>
      <c r="T59" s="45">
        <v>15</v>
      </c>
      <c r="U59" s="45">
        <v>15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15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24</v>
      </c>
      <c r="AH59" s="47">
        <f t="shared" si="2"/>
        <v>15</v>
      </c>
      <c r="AI59" s="48">
        <f t="shared" si="3"/>
        <v>15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5.0999999999999996</v>
      </c>
      <c r="C62" s="65">
        <v>5.0999999999999996</v>
      </c>
      <c r="D62" s="65">
        <v>5.0999999999999996</v>
      </c>
      <c r="E62" s="65">
        <v>5.0999999999999996</v>
      </c>
      <c r="F62" s="65">
        <v>5.0999999999999996</v>
      </c>
      <c r="G62" s="65">
        <v>5.0999999999999996</v>
      </c>
      <c r="H62" s="65">
        <v>5.0999999999999996</v>
      </c>
      <c r="I62" s="65">
        <v>5.0999999999999996</v>
      </c>
      <c r="J62" s="65">
        <v>5.0999999999999996</v>
      </c>
      <c r="K62" s="65">
        <v>5.0999999999999996</v>
      </c>
      <c r="L62" s="65">
        <v>5.0999999999999996</v>
      </c>
      <c r="M62" s="65">
        <v>5.0999999999999996</v>
      </c>
      <c r="N62" s="65">
        <v>5.0999999999999996</v>
      </c>
      <c r="O62" s="65">
        <v>5.0999999999999996</v>
      </c>
      <c r="P62" s="65">
        <v>5.0999999999999996</v>
      </c>
      <c r="Q62" s="65">
        <v>5.0999999999999996</v>
      </c>
      <c r="R62" s="65">
        <v>5.0999999999999996</v>
      </c>
      <c r="S62" s="65">
        <v>5.0999999999999996</v>
      </c>
      <c r="T62" s="65">
        <v>5.0999999999999996</v>
      </c>
      <c r="U62" s="65">
        <v>5.0999999999999996</v>
      </c>
      <c r="V62" s="65">
        <v>5.0999999999999996</v>
      </c>
      <c r="W62" s="65">
        <v>5.0999999999999996</v>
      </c>
      <c r="X62" s="65">
        <v>5.0999999999999996</v>
      </c>
      <c r="Y62" s="65">
        <v>5.0999999999999996</v>
      </c>
      <c r="Z62" s="65">
        <v>5.0999999999999996</v>
      </c>
      <c r="AA62" s="65">
        <v>5.0999999999999996</v>
      </c>
      <c r="AB62" s="65">
        <v>5.0999999999999996</v>
      </c>
      <c r="AC62" s="65">
        <v>5.0999999999999996</v>
      </c>
      <c r="AD62" s="65">
        <v>5.0999999999999996</v>
      </c>
      <c r="AE62" s="65">
        <v>5.0999999999999996</v>
      </c>
      <c r="AF62" s="65">
        <v>5.0999999999999996</v>
      </c>
      <c r="AG62" s="54">
        <v>14</v>
      </c>
      <c r="AH62" s="47">
        <f t="shared" si="2"/>
        <v>5.0999999999999996</v>
      </c>
      <c r="AI62" s="48">
        <f t="shared" si="3"/>
        <v>5.0999999999999996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4.5999999999999996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>
        <v>1.5</v>
      </c>
      <c r="AB64" s="65">
        <v>1.5</v>
      </c>
      <c r="AC64" s="65">
        <v>1.5</v>
      </c>
      <c r="AD64" s="65">
        <v>1.5</v>
      </c>
      <c r="AE64" s="65">
        <v>1.5</v>
      </c>
      <c r="AF64" s="65">
        <v>1.5</v>
      </c>
      <c r="AG64" s="54">
        <v>6.2</v>
      </c>
      <c r="AH64" s="47">
        <f t="shared" si="2"/>
        <v>1.5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14">SUM(B53:B65)</f>
        <v>95.539999999999992</v>
      </c>
      <c r="C66" s="60">
        <f t="shared" si="14"/>
        <v>95.539999999999992</v>
      </c>
      <c r="D66" s="60">
        <f t="shared" si="14"/>
        <v>95.539999999999992</v>
      </c>
      <c r="E66" s="60">
        <f t="shared" ref="E66:G66" si="15">SUM(E53:E65)</f>
        <v>140.54</v>
      </c>
      <c r="F66" s="60">
        <f t="shared" si="15"/>
        <v>162.54</v>
      </c>
      <c r="G66" s="60">
        <f t="shared" si="15"/>
        <v>162.54</v>
      </c>
      <c r="H66" s="60">
        <f t="shared" ref="H66:I66" si="16">SUM(H53:H65)</f>
        <v>185.54</v>
      </c>
      <c r="I66" s="60">
        <f t="shared" si="16"/>
        <v>215.54</v>
      </c>
      <c r="J66" s="60">
        <f t="shared" si="14"/>
        <v>290.54000000000008</v>
      </c>
      <c r="K66" s="60">
        <f t="shared" ref="K66" si="17">SUM(K53:K65)</f>
        <v>270.54000000000008</v>
      </c>
      <c r="L66" s="60">
        <f t="shared" si="14"/>
        <v>231.93999999999997</v>
      </c>
      <c r="M66" s="60">
        <f t="shared" si="14"/>
        <v>207.93999999999997</v>
      </c>
      <c r="N66" s="60">
        <f t="shared" si="14"/>
        <v>170.64</v>
      </c>
      <c r="O66" s="60">
        <f t="shared" si="14"/>
        <v>157.23999999999998</v>
      </c>
      <c r="P66" s="60">
        <f t="shared" si="14"/>
        <v>134.13999999999999</v>
      </c>
      <c r="Q66" s="60">
        <f t="shared" si="14"/>
        <v>136.04</v>
      </c>
      <c r="R66" s="60">
        <f t="shared" si="14"/>
        <v>139.33999999999997</v>
      </c>
      <c r="S66" s="60">
        <f t="shared" si="14"/>
        <v>149.23999999999998</v>
      </c>
      <c r="T66" s="60">
        <f t="shared" si="14"/>
        <v>150.04</v>
      </c>
      <c r="U66" s="60">
        <f t="shared" si="14"/>
        <v>153.23999999999998</v>
      </c>
      <c r="V66" s="60">
        <f t="shared" si="14"/>
        <v>160.93999999999997</v>
      </c>
      <c r="W66" s="60">
        <f t="shared" si="14"/>
        <v>164.93999999999997</v>
      </c>
      <c r="X66" s="60">
        <f t="shared" si="14"/>
        <v>215.93999999999997</v>
      </c>
      <c r="Y66" s="60">
        <f t="shared" si="14"/>
        <v>287.54000000000008</v>
      </c>
      <c r="Z66" s="60">
        <f t="shared" si="14"/>
        <v>279.54000000000008</v>
      </c>
      <c r="AA66" s="60">
        <f t="shared" si="14"/>
        <v>270.94000000000005</v>
      </c>
      <c r="AB66" s="60">
        <f t="shared" ref="AB66" si="18">SUM(AB53:AB65)</f>
        <v>241.04</v>
      </c>
      <c r="AC66" s="60">
        <f t="shared" si="14"/>
        <v>215.53999999999996</v>
      </c>
      <c r="AD66" s="60">
        <f t="shared" si="14"/>
        <v>139.94</v>
      </c>
      <c r="AE66" s="60">
        <f t="shared" si="14"/>
        <v>95.44</v>
      </c>
      <c r="AF66" s="60">
        <f t="shared" si="14"/>
        <v>94.94</v>
      </c>
      <c r="AG66" s="61">
        <f t="shared" si="14"/>
        <v>489.91</v>
      </c>
      <c r="AH66" s="47">
        <f t="shared" si="2"/>
        <v>290.54000000000008</v>
      </c>
      <c r="AI66" s="48">
        <f t="shared" si="3"/>
        <v>94.94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30</v>
      </c>
      <c r="O67" s="45">
        <v>30</v>
      </c>
      <c r="P67" s="45">
        <v>30</v>
      </c>
      <c r="Q67" s="45">
        <v>30</v>
      </c>
      <c r="R67" s="45">
        <v>30</v>
      </c>
      <c r="S67" s="45">
        <v>30</v>
      </c>
      <c r="T67" s="45">
        <v>30</v>
      </c>
      <c r="U67" s="45">
        <v>30</v>
      </c>
      <c r="V67" s="45">
        <v>30</v>
      </c>
      <c r="W67" s="45">
        <v>30</v>
      </c>
      <c r="X67" s="45">
        <v>14</v>
      </c>
      <c r="Y67" s="45">
        <v>25</v>
      </c>
      <c r="Z67" s="45">
        <v>20</v>
      </c>
      <c r="AA67" s="45">
        <v>25</v>
      </c>
      <c r="AB67" s="45">
        <v>15</v>
      </c>
      <c r="AC67" s="45">
        <v>15</v>
      </c>
      <c r="AD67" s="45">
        <v>14</v>
      </c>
      <c r="AE67" s="45">
        <v>14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14.3</v>
      </c>
      <c r="O68" s="65">
        <v>15</v>
      </c>
      <c r="P68" s="65">
        <v>14</v>
      </c>
      <c r="Q68" s="65">
        <v>14.8</v>
      </c>
      <c r="R68" s="65">
        <v>14.8</v>
      </c>
      <c r="S68" s="65">
        <v>14.8</v>
      </c>
      <c r="T68" s="65">
        <v>14.8</v>
      </c>
      <c r="U68" s="65">
        <v>14.8</v>
      </c>
      <c r="V68" s="65">
        <v>14.8</v>
      </c>
      <c r="W68" s="65">
        <v>14.8</v>
      </c>
      <c r="X68" s="65">
        <v>12</v>
      </c>
      <c r="Y68" s="65">
        <v>6.2</v>
      </c>
      <c r="Z68" s="65">
        <v>15</v>
      </c>
      <c r="AA68" s="65">
        <v>8.6999999999999993</v>
      </c>
      <c r="AB68" s="65">
        <v>8.3000000000000007</v>
      </c>
      <c r="AC68" s="65">
        <v>8.3000000000000007</v>
      </c>
      <c r="AD68" s="65">
        <v>8.3000000000000007</v>
      </c>
      <c r="AE68" s="65">
        <v>8.3000000000000007</v>
      </c>
      <c r="AF68" s="45">
        <v>0</v>
      </c>
      <c r="AG68" s="54">
        <v>32</v>
      </c>
      <c r="AH68" s="47">
        <f t="shared" si="2"/>
        <v>15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5.2</v>
      </c>
      <c r="O69" s="67">
        <v>5.5</v>
      </c>
      <c r="P69" s="67">
        <v>5.0999999999999996</v>
      </c>
      <c r="Q69" s="67">
        <v>5.4</v>
      </c>
      <c r="R69" s="67">
        <v>5.4</v>
      </c>
      <c r="S69" s="67">
        <v>5.4</v>
      </c>
      <c r="T69" s="67">
        <v>5.4</v>
      </c>
      <c r="U69" s="67">
        <v>5.4</v>
      </c>
      <c r="V69" s="67">
        <v>5.4</v>
      </c>
      <c r="W69" s="67">
        <v>5.4</v>
      </c>
      <c r="X69" s="67">
        <v>4.4000000000000004</v>
      </c>
      <c r="Y69" s="67">
        <v>2.2999999999999998</v>
      </c>
      <c r="Z69" s="67">
        <v>5.5</v>
      </c>
      <c r="AA69" s="67">
        <v>3.2</v>
      </c>
      <c r="AB69" s="67">
        <v>3.4</v>
      </c>
      <c r="AC69" s="67">
        <v>3.4</v>
      </c>
      <c r="AD69" s="67">
        <v>3.4</v>
      </c>
      <c r="AE69" s="67">
        <v>3.4</v>
      </c>
      <c r="AF69" s="45">
        <v>0</v>
      </c>
      <c r="AG69" s="68">
        <v>14</v>
      </c>
      <c r="AH69" s="47">
        <f t="shared" si="2"/>
        <v>5.5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9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20">M67+M68+M69</f>
        <v>0</v>
      </c>
      <c r="N70" s="60">
        <f t="shared" si="20"/>
        <v>49.5</v>
      </c>
      <c r="O70" s="60">
        <f t="shared" si="20"/>
        <v>50.5</v>
      </c>
      <c r="P70" s="60">
        <f t="shared" si="20"/>
        <v>49.1</v>
      </c>
      <c r="Q70" s="60">
        <f t="shared" si="20"/>
        <v>50.199999999999996</v>
      </c>
      <c r="R70" s="60">
        <f t="shared" si="20"/>
        <v>50.199999999999996</v>
      </c>
      <c r="S70" s="60">
        <f t="shared" si="20"/>
        <v>50.199999999999996</v>
      </c>
      <c r="T70" s="60">
        <f t="shared" si="20"/>
        <v>50.199999999999996</v>
      </c>
      <c r="U70" s="60">
        <f t="shared" si="20"/>
        <v>50.199999999999996</v>
      </c>
      <c r="V70" s="60">
        <f t="shared" si="20"/>
        <v>50.199999999999996</v>
      </c>
      <c r="W70" s="60">
        <f t="shared" si="20"/>
        <v>50.199999999999996</v>
      </c>
      <c r="X70" s="60">
        <f t="shared" si="20"/>
        <v>30.4</v>
      </c>
      <c r="Y70" s="60">
        <f t="shared" si="20"/>
        <v>33.5</v>
      </c>
      <c r="Z70" s="60">
        <f t="shared" si="20"/>
        <v>40.5</v>
      </c>
      <c r="AA70" s="60">
        <f t="shared" si="20"/>
        <v>36.900000000000006</v>
      </c>
      <c r="AB70" s="60">
        <f t="shared" ref="AB70" si="21">AB67+AB68+AB69</f>
        <v>26.7</v>
      </c>
      <c r="AC70" s="60">
        <f t="shared" si="20"/>
        <v>26.7</v>
      </c>
      <c r="AD70" s="60">
        <f t="shared" si="20"/>
        <v>25.7</v>
      </c>
      <c r="AE70" s="60">
        <f t="shared" si="20"/>
        <v>25.7</v>
      </c>
      <c r="AF70" s="60">
        <f t="shared" si="20"/>
        <v>0</v>
      </c>
      <c r="AG70" s="61">
        <f>SUM(AG67:AG69)</f>
        <v>106</v>
      </c>
      <c r="AH70" s="47">
        <f t="shared" si="2"/>
        <v>50.5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58</v>
      </c>
      <c r="C71" s="45">
        <v>60</v>
      </c>
      <c r="D71" s="45">
        <v>62</v>
      </c>
      <c r="E71" s="45">
        <v>62</v>
      </c>
      <c r="F71" s="45">
        <v>58</v>
      </c>
      <c r="G71" s="45">
        <v>61</v>
      </c>
      <c r="H71" s="45">
        <v>65</v>
      </c>
      <c r="I71" s="45">
        <v>72</v>
      </c>
      <c r="J71" s="45">
        <v>66.900000000000006</v>
      </c>
      <c r="K71" s="45">
        <v>66.900000000000006</v>
      </c>
      <c r="L71" s="45">
        <v>59</v>
      </c>
      <c r="M71" s="45">
        <v>73</v>
      </c>
      <c r="N71" s="45">
        <v>74</v>
      </c>
      <c r="O71" s="45">
        <v>69.900000000000006</v>
      </c>
      <c r="P71" s="45">
        <v>68.5</v>
      </c>
      <c r="Q71" s="45">
        <v>69.2</v>
      </c>
      <c r="R71" s="45">
        <v>68.5</v>
      </c>
      <c r="S71" s="45">
        <v>72.900000000000006</v>
      </c>
      <c r="T71" s="45">
        <v>69.400000000000006</v>
      </c>
      <c r="U71" s="45">
        <v>77</v>
      </c>
      <c r="V71" s="45">
        <v>75</v>
      </c>
      <c r="W71" s="45">
        <v>65</v>
      </c>
      <c r="X71" s="45">
        <v>65</v>
      </c>
      <c r="Y71" s="45">
        <v>73</v>
      </c>
      <c r="Z71" s="45">
        <v>72</v>
      </c>
      <c r="AA71" s="45">
        <v>70.400000000000006</v>
      </c>
      <c r="AB71" s="45">
        <v>67.400000000000006</v>
      </c>
      <c r="AC71" s="45">
        <v>73</v>
      </c>
      <c r="AD71" s="45">
        <v>69</v>
      </c>
      <c r="AE71" s="45">
        <v>67.900000000000006</v>
      </c>
      <c r="AF71" s="45">
        <v>63</v>
      </c>
      <c r="AG71" s="51"/>
      <c r="AH71" s="47">
        <f t="shared" si="2"/>
        <v>77</v>
      </c>
      <c r="AI71" s="48">
        <f t="shared" si="3"/>
        <v>58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250</v>
      </c>
      <c r="C73" s="65">
        <v>240</v>
      </c>
      <c r="D73" s="65">
        <v>230</v>
      </c>
      <c r="E73" s="65">
        <v>240</v>
      </c>
      <c r="F73" s="65">
        <v>210</v>
      </c>
      <c r="G73" s="65">
        <v>265</v>
      </c>
      <c r="H73" s="65">
        <v>265</v>
      </c>
      <c r="I73" s="65">
        <v>265</v>
      </c>
      <c r="J73" s="65">
        <v>220</v>
      </c>
      <c r="K73" s="65">
        <v>225</v>
      </c>
      <c r="L73" s="65">
        <v>235</v>
      </c>
      <c r="M73" s="65">
        <v>222.7</v>
      </c>
      <c r="N73" s="65">
        <v>263</v>
      </c>
      <c r="O73" s="65">
        <v>278.89999999999998</v>
      </c>
      <c r="P73" s="65">
        <v>277</v>
      </c>
      <c r="Q73" s="65">
        <v>275</v>
      </c>
      <c r="R73" s="65">
        <v>304.5</v>
      </c>
      <c r="S73" s="65">
        <v>266</v>
      </c>
      <c r="T73" s="65">
        <v>356.4</v>
      </c>
      <c r="U73" s="65">
        <v>352</v>
      </c>
      <c r="V73" s="65">
        <v>342</v>
      </c>
      <c r="W73" s="65">
        <v>339</v>
      </c>
      <c r="X73" s="65">
        <v>326</v>
      </c>
      <c r="Y73" s="65">
        <v>339</v>
      </c>
      <c r="Z73" s="65">
        <v>315</v>
      </c>
      <c r="AA73" s="65">
        <v>281</v>
      </c>
      <c r="AB73" s="65">
        <v>271</v>
      </c>
      <c r="AC73" s="65">
        <v>282</v>
      </c>
      <c r="AD73" s="65">
        <v>309</v>
      </c>
      <c r="AE73" s="65">
        <v>279</v>
      </c>
      <c r="AF73" s="65">
        <v>289</v>
      </c>
      <c r="AG73" s="75"/>
      <c r="AH73" s="47">
        <f t="shared" si="2"/>
        <v>356.4</v>
      </c>
      <c r="AI73" s="48">
        <f t="shared" si="3"/>
        <v>210</v>
      </c>
      <c r="AK73" s="49"/>
    </row>
    <row r="74" spans="1:40" x14ac:dyDescent="0.25">
      <c r="A74" s="53" t="s">
        <v>78</v>
      </c>
      <c r="B74" s="65">
        <v>57</v>
      </c>
      <c r="C74" s="65">
        <v>57</v>
      </c>
      <c r="D74" s="65">
        <v>57</v>
      </c>
      <c r="E74" s="65">
        <v>57</v>
      </c>
      <c r="F74" s="65">
        <v>57</v>
      </c>
      <c r="G74" s="65">
        <v>57</v>
      </c>
      <c r="H74" s="65">
        <v>57</v>
      </c>
      <c r="I74" s="65">
        <v>57</v>
      </c>
      <c r="J74" s="65">
        <v>57</v>
      </c>
      <c r="K74" s="65">
        <v>57</v>
      </c>
      <c r="L74" s="65">
        <v>57</v>
      </c>
      <c r="M74" s="76">
        <v>58</v>
      </c>
      <c r="N74" s="76">
        <v>58</v>
      </c>
      <c r="O74" s="76">
        <v>56.1</v>
      </c>
      <c r="P74" s="76">
        <v>63.8</v>
      </c>
      <c r="Q74" s="76">
        <v>62.3</v>
      </c>
      <c r="R74" s="76">
        <v>62.3</v>
      </c>
      <c r="S74" s="76">
        <v>55</v>
      </c>
      <c r="T74" s="76">
        <v>55</v>
      </c>
      <c r="U74" s="76">
        <v>55</v>
      </c>
      <c r="V74" s="76">
        <v>55</v>
      </c>
      <c r="W74" s="76">
        <v>55</v>
      </c>
      <c r="X74" s="76">
        <v>53</v>
      </c>
      <c r="Y74" s="76">
        <v>53</v>
      </c>
      <c r="Z74" s="76">
        <v>53</v>
      </c>
      <c r="AA74" s="76">
        <v>58</v>
      </c>
      <c r="AB74" s="76">
        <v>56.4</v>
      </c>
      <c r="AC74" s="65">
        <v>56</v>
      </c>
      <c r="AD74" s="65">
        <v>54.4</v>
      </c>
      <c r="AE74" s="65">
        <v>54.4</v>
      </c>
      <c r="AF74" s="65">
        <v>54.4</v>
      </c>
      <c r="AG74" s="75"/>
      <c r="AH74" s="47">
        <f t="shared" si="2"/>
        <v>63.8</v>
      </c>
      <c r="AI74" s="48">
        <f t="shared" si="3"/>
        <v>53</v>
      </c>
      <c r="AK74" s="49"/>
    </row>
    <row r="75" spans="1:40" x14ac:dyDescent="0.25">
      <c r="A75" s="53" t="s">
        <v>79</v>
      </c>
      <c r="B75" s="45">
        <v>90</v>
      </c>
      <c r="C75" s="45">
        <v>85</v>
      </c>
      <c r="D75" s="45">
        <v>81</v>
      </c>
      <c r="E75" s="45">
        <v>81</v>
      </c>
      <c r="F75" s="45">
        <v>81</v>
      </c>
      <c r="G75" s="45">
        <v>81</v>
      </c>
      <c r="H75" s="45">
        <v>81</v>
      </c>
      <c r="I75" s="45">
        <v>81</v>
      </c>
      <c r="J75" s="45">
        <v>81</v>
      </c>
      <c r="K75" s="45">
        <v>81</v>
      </c>
      <c r="L75" s="45">
        <v>81</v>
      </c>
      <c r="M75" s="45">
        <v>81</v>
      </c>
      <c r="N75" s="45">
        <v>81</v>
      </c>
      <c r="O75" s="45">
        <v>72.8</v>
      </c>
      <c r="P75" s="45">
        <v>92</v>
      </c>
      <c r="Q75" s="45">
        <v>88.6</v>
      </c>
      <c r="R75" s="45">
        <v>82</v>
      </c>
      <c r="S75" s="45">
        <v>79</v>
      </c>
      <c r="T75" s="45">
        <v>83.3</v>
      </c>
      <c r="U75" s="45">
        <v>75</v>
      </c>
      <c r="V75" s="45">
        <v>75</v>
      </c>
      <c r="W75" s="45">
        <v>69.2</v>
      </c>
      <c r="X75" s="45">
        <v>69.2</v>
      </c>
      <c r="Y75" s="45">
        <v>69.2</v>
      </c>
      <c r="Z75" s="45">
        <v>69.2</v>
      </c>
      <c r="AA75" s="45">
        <v>69.2</v>
      </c>
      <c r="AB75" s="45">
        <v>69.900000000000006</v>
      </c>
      <c r="AC75" s="45">
        <v>79.3</v>
      </c>
      <c r="AD75" s="45">
        <v>89</v>
      </c>
      <c r="AE75" s="45">
        <v>90.1</v>
      </c>
      <c r="AF75" s="45">
        <v>89</v>
      </c>
      <c r="AG75" s="75"/>
      <c r="AH75" s="47">
        <f t="shared" ref="AH75:AH117" si="22">MAX(B75:AF75)</f>
        <v>92</v>
      </c>
      <c r="AI75" s="48">
        <f t="shared" ref="AI75:AI117" si="23">MIN(B75:AF75)</f>
        <v>69.2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22"/>
        <v>5</v>
      </c>
      <c r="AI76" s="48">
        <f t="shared" si="23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22"/>
        <v>0</v>
      </c>
      <c r="AI77" s="48">
        <f t="shared" si="23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22"/>
        <v>0</v>
      </c>
      <c r="AI78" s="48">
        <f t="shared" si="23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22"/>
        <v>0</v>
      </c>
      <c r="AI79" s="48">
        <f t="shared" si="23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22"/>
        <v>0</v>
      </c>
      <c r="AI80" s="48">
        <f t="shared" si="23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22"/>
        <v>0</v>
      </c>
      <c r="AI81" s="48">
        <f t="shared" si="23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24">SUMIF(B71:B81,"&gt;0")</f>
        <v>460</v>
      </c>
      <c r="C82" s="60">
        <f t="shared" si="24"/>
        <v>447</v>
      </c>
      <c r="D82" s="60">
        <f t="shared" si="24"/>
        <v>435</v>
      </c>
      <c r="E82" s="60">
        <f t="shared" ref="E82:G82" si="25">SUMIF(E71:E81,"&gt;0")</f>
        <v>445</v>
      </c>
      <c r="F82" s="60">
        <f t="shared" si="25"/>
        <v>411</v>
      </c>
      <c r="G82" s="60">
        <f t="shared" si="25"/>
        <v>469</v>
      </c>
      <c r="H82" s="60">
        <f t="shared" ref="H82:I82" si="26">SUMIF(H71:H81,"&gt;0")</f>
        <v>473</v>
      </c>
      <c r="I82" s="60">
        <f t="shared" si="26"/>
        <v>480</v>
      </c>
      <c r="J82" s="60">
        <f t="shared" si="24"/>
        <v>429.9</v>
      </c>
      <c r="K82" s="60">
        <f t="shared" ref="K82" si="27">SUMIF(K71:K81,"&gt;0")</f>
        <v>434.9</v>
      </c>
      <c r="L82" s="60">
        <f t="shared" si="24"/>
        <v>437</v>
      </c>
      <c r="M82" s="60">
        <f t="shared" si="24"/>
        <v>439.7</v>
      </c>
      <c r="N82" s="60">
        <f t="shared" si="24"/>
        <v>481</v>
      </c>
      <c r="O82" s="60">
        <f t="shared" si="24"/>
        <v>482.7</v>
      </c>
      <c r="P82" s="60">
        <f t="shared" si="24"/>
        <v>506.3</v>
      </c>
      <c r="Q82" s="60">
        <f t="shared" si="24"/>
        <v>500.1</v>
      </c>
      <c r="R82" s="60">
        <f t="shared" si="24"/>
        <v>522.29999999999995</v>
      </c>
      <c r="S82" s="60">
        <f t="shared" si="24"/>
        <v>477.9</v>
      </c>
      <c r="T82" s="60">
        <f t="shared" si="24"/>
        <v>569.09999999999991</v>
      </c>
      <c r="U82" s="60">
        <f t="shared" si="24"/>
        <v>564</v>
      </c>
      <c r="V82" s="60">
        <f t="shared" si="24"/>
        <v>552</v>
      </c>
      <c r="W82" s="60">
        <f t="shared" si="24"/>
        <v>533.20000000000005</v>
      </c>
      <c r="X82" s="60">
        <f t="shared" si="24"/>
        <v>518.20000000000005</v>
      </c>
      <c r="Y82" s="60">
        <f t="shared" si="24"/>
        <v>539.20000000000005</v>
      </c>
      <c r="Z82" s="60">
        <f t="shared" si="24"/>
        <v>514.20000000000005</v>
      </c>
      <c r="AA82" s="60">
        <f t="shared" si="24"/>
        <v>483.59999999999997</v>
      </c>
      <c r="AB82" s="60">
        <f t="shared" ref="AB82" si="28">SUMIF(AB71:AB81,"&gt;0")</f>
        <v>469.69999999999993</v>
      </c>
      <c r="AC82" s="60">
        <f t="shared" si="24"/>
        <v>495.3</v>
      </c>
      <c r="AD82" s="60">
        <f t="shared" si="24"/>
        <v>526.4</v>
      </c>
      <c r="AE82" s="60">
        <f t="shared" si="24"/>
        <v>496.4</v>
      </c>
      <c r="AF82" s="60">
        <f t="shared" si="24"/>
        <v>500.4</v>
      </c>
      <c r="AG82" s="88">
        <f>SUM(AG71:AG81)</f>
        <v>0</v>
      </c>
      <c r="AH82" s="47">
        <f t="shared" si="22"/>
        <v>569.09999999999991</v>
      </c>
      <c r="AI82" s="48">
        <f t="shared" si="23"/>
        <v>411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22"/>
        <v>0</v>
      </c>
      <c r="AI83" s="48">
        <f t="shared" si="23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22"/>
        <v>0</v>
      </c>
      <c r="AI84" s="48">
        <f t="shared" si="23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22"/>
        <v>0</v>
      </c>
      <c r="AI85" s="48">
        <f t="shared" si="23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22"/>
        <v>0</v>
      </c>
      <c r="AI86" s="48">
        <f t="shared" si="23"/>
        <v>0</v>
      </c>
    </row>
    <row r="87" spans="1:40" ht="15.75" thickBot="1" x14ac:dyDescent="0.3">
      <c r="A87" s="74" t="s">
        <v>94</v>
      </c>
      <c r="B87" s="95">
        <f t="shared" ref="B87:AG87" si="29">B48+B52+B70+B66+B82+B86</f>
        <v>1070.04</v>
      </c>
      <c r="C87" s="95">
        <f t="shared" si="29"/>
        <v>1037.04</v>
      </c>
      <c r="D87" s="95">
        <f t="shared" si="29"/>
        <v>1005.04</v>
      </c>
      <c r="E87" s="95">
        <f t="shared" ref="E87:G87" si="30">E48+E52+E70+E66+E82+E86</f>
        <v>990.04</v>
      </c>
      <c r="F87" s="95">
        <f t="shared" si="30"/>
        <v>958.04</v>
      </c>
      <c r="G87" s="95">
        <f t="shared" si="30"/>
        <v>1016.04</v>
      </c>
      <c r="H87" s="95">
        <f t="shared" ref="H87:I87" si="31">H48+H52+H70+H66+H82+H86</f>
        <v>1043.04</v>
      </c>
      <c r="I87" s="95">
        <f t="shared" si="31"/>
        <v>1080.04</v>
      </c>
      <c r="J87" s="95">
        <f t="shared" si="29"/>
        <v>1180.94</v>
      </c>
      <c r="K87" s="95">
        <f t="shared" ref="K87" si="32">K48+K52+K70+K66+K82+K86</f>
        <v>1149.94</v>
      </c>
      <c r="L87" s="95">
        <f t="shared" si="29"/>
        <v>1223.44</v>
      </c>
      <c r="M87" s="95">
        <f t="shared" si="29"/>
        <v>1237.1399999999999</v>
      </c>
      <c r="N87" s="95">
        <f t="shared" si="29"/>
        <v>1215.6399999999999</v>
      </c>
      <c r="O87" s="95">
        <f t="shared" si="29"/>
        <v>1164.94</v>
      </c>
      <c r="P87" s="95">
        <f t="shared" si="29"/>
        <v>1159.04</v>
      </c>
      <c r="Q87" s="95">
        <f t="shared" si="29"/>
        <v>1140.8400000000001</v>
      </c>
      <c r="R87" s="95">
        <f t="shared" si="29"/>
        <v>1126.3399999999999</v>
      </c>
      <c r="S87" s="95">
        <f t="shared" si="29"/>
        <v>1142.04</v>
      </c>
      <c r="T87" s="95">
        <f t="shared" si="29"/>
        <v>1169.04</v>
      </c>
      <c r="U87" s="95">
        <f t="shared" si="29"/>
        <v>1167.1399999999999</v>
      </c>
      <c r="V87" s="95">
        <f t="shared" si="29"/>
        <v>1162.8400000000001</v>
      </c>
      <c r="W87" s="95">
        <f t="shared" si="29"/>
        <v>1153.04</v>
      </c>
      <c r="X87" s="95">
        <f t="shared" si="29"/>
        <v>1189.24</v>
      </c>
      <c r="Y87" s="95">
        <f t="shared" si="29"/>
        <v>1304.94</v>
      </c>
      <c r="Z87" s="95">
        <f t="shared" si="29"/>
        <v>1368.94</v>
      </c>
      <c r="AA87" s="95">
        <f t="shared" si="29"/>
        <v>1346.14</v>
      </c>
      <c r="AB87" s="95">
        <f t="shared" si="29"/>
        <v>1283.2399999999998</v>
      </c>
      <c r="AC87" s="95">
        <f t="shared" si="29"/>
        <v>1294.54</v>
      </c>
      <c r="AD87" s="95">
        <f t="shared" si="29"/>
        <v>1219.04</v>
      </c>
      <c r="AE87" s="95">
        <f t="shared" si="29"/>
        <v>1124.54</v>
      </c>
      <c r="AF87" s="95">
        <f t="shared" si="29"/>
        <v>1072.3399999999999</v>
      </c>
      <c r="AG87" s="61">
        <f t="shared" si="29"/>
        <v>2065.09</v>
      </c>
      <c r="AH87" s="47">
        <f>MAX(B87:AF87)</f>
        <v>1368.94</v>
      </c>
      <c r="AI87" s="48">
        <f>MIN(B87:AF87)</f>
        <v>958.04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>
        <v>100</v>
      </c>
      <c r="L88" s="97">
        <v>100</v>
      </c>
      <c r="M88" s="97">
        <v>120</v>
      </c>
      <c r="N88" s="97">
        <v>120</v>
      </c>
      <c r="O88" s="97">
        <v>120</v>
      </c>
      <c r="P88" s="97"/>
      <c r="Q88" s="97"/>
      <c r="R88" s="97"/>
      <c r="S88" s="97">
        <v>100</v>
      </c>
      <c r="T88" s="97">
        <v>100</v>
      </c>
      <c r="U88" s="97">
        <v>100</v>
      </c>
      <c r="V88" s="97">
        <v>100</v>
      </c>
      <c r="W88" s="97">
        <v>100</v>
      </c>
      <c r="X88" s="97">
        <v>100</v>
      </c>
      <c r="Y88" s="97">
        <v>100</v>
      </c>
      <c r="Z88" s="97">
        <v>100</v>
      </c>
      <c r="AA88" s="97">
        <v>100</v>
      </c>
      <c r="AB88" s="97">
        <v>100</v>
      </c>
      <c r="AC88" s="97">
        <v>100</v>
      </c>
      <c r="AD88" s="97"/>
      <c r="AE88" s="97"/>
      <c r="AF88" s="97"/>
      <c r="AG88" s="88"/>
      <c r="AH88" s="47">
        <f t="shared" si="22"/>
        <v>120</v>
      </c>
      <c r="AI88" s="48">
        <f t="shared" si="23"/>
        <v>100</v>
      </c>
    </row>
    <row r="89" spans="1:40" ht="15.75" thickBot="1" x14ac:dyDescent="0.3">
      <c r="A89" s="74" t="s">
        <v>96</v>
      </c>
      <c r="B89" s="95">
        <f t="shared" ref="B89:AF89" si="33">B87+B88</f>
        <v>1070.04</v>
      </c>
      <c r="C89" s="95">
        <f t="shared" si="33"/>
        <v>1037.04</v>
      </c>
      <c r="D89" s="95">
        <f t="shared" si="33"/>
        <v>1005.04</v>
      </c>
      <c r="E89" s="95">
        <f t="shared" ref="E89:G89" si="34">E87+E88</f>
        <v>990.04</v>
      </c>
      <c r="F89" s="95">
        <f t="shared" si="34"/>
        <v>958.04</v>
      </c>
      <c r="G89" s="95">
        <f t="shared" si="34"/>
        <v>1016.04</v>
      </c>
      <c r="H89" s="95">
        <f t="shared" ref="H89:I89" si="35">H87+H88</f>
        <v>1043.04</v>
      </c>
      <c r="I89" s="95">
        <f t="shared" si="35"/>
        <v>1080.04</v>
      </c>
      <c r="J89" s="95">
        <f t="shared" si="33"/>
        <v>1180.94</v>
      </c>
      <c r="K89" s="95">
        <f t="shared" ref="K89" si="36">K87+K88</f>
        <v>1249.94</v>
      </c>
      <c r="L89" s="95">
        <f t="shared" si="33"/>
        <v>1323.44</v>
      </c>
      <c r="M89" s="95">
        <f t="shared" si="33"/>
        <v>1357.1399999999999</v>
      </c>
      <c r="N89" s="95">
        <f t="shared" si="33"/>
        <v>1335.6399999999999</v>
      </c>
      <c r="O89" s="95">
        <f t="shared" si="33"/>
        <v>1284.94</v>
      </c>
      <c r="P89" s="95">
        <f t="shared" si="33"/>
        <v>1159.04</v>
      </c>
      <c r="Q89" s="95">
        <f t="shared" si="33"/>
        <v>1140.8400000000001</v>
      </c>
      <c r="R89" s="95">
        <f t="shared" si="33"/>
        <v>1126.3399999999999</v>
      </c>
      <c r="S89" s="95">
        <f t="shared" si="33"/>
        <v>1242.04</v>
      </c>
      <c r="T89" s="95">
        <f t="shared" si="33"/>
        <v>1269.04</v>
      </c>
      <c r="U89" s="95">
        <f t="shared" si="33"/>
        <v>1267.1399999999999</v>
      </c>
      <c r="V89" s="95">
        <f t="shared" si="33"/>
        <v>1262.8400000000001</v>
      </c>
      <c r="W89" s="95">
        <f t="shared" si="33"/>
        <v>1253.04</v>
      </c>
      <c r="X89" s="95">
        <f t="shared" si="33"/>
        <v>1289.24</v>
      </c>
      <c r="Y89" s="95">
        <f t="shared" si="33"/>
        <v>1404.94</v>
      </c>
      <c r="Z89" s="95">
        <f t="shared" si="33"/>
        <v>1468.94</v>
      </c>
      <c r="AA89" s="95">
        <f t="shared" si="33"/>
        <v>1446.14</v>
      </c>
      <c r="AB89" s="95">
        <f t="shared" si="33"/>
        <v>1383.2399999999998</v>
      </c>
      <c r="AC89" s="95">
        <f t="shared" si="33"/>
        <v>1394.54</v>
      </c>
      <c r="AD89" s="95">
        <f t="shared" si="33"/>
        <v>1219.04</v>
      </c>
      <c r="AE89" s="95">
        <f t="shared" si="33"/>
        <v>1124.54</v>
      </c>
      <c r="AF89" s="95">
        <f t="shared" si="33"/>
        <v>1072.3399999999999</v>
      </c>
      <c r="AG89" s="88">
        <f>AG86+AG82+AG70+AG66+AG48+AG88</f>
        <v>1526.99</v>
      </c>
      <c r="AH89" s="47">
        <f t="shared" si="22"/>
        <v>1468.94</v>
      </c>
      <c r="AI89" s="48">
        <f t="shared" si="23"/>
        <v>958.04</v>
      </c>
    </row>
    <row r="90" spans="1:40" ht="15.75" thickBot="1" x14ac:dyDescent="0.3">
      <c r="A90" s="74" t="s">
        <v>97</v>
      </c>
      <c r="B90" s="95">
        <f t="shared" ref="B90:AF90" si="37">B89-B97</f>
        <v>1070.04</v>
      </c>
      <c r="C90" s="95">
        <f t="shared" si="37"/>
        <v>1037.04</v>
      </c>
      <c r="D90" s="95">
        <f t="shared" si="37"/>
        <v>1005.04</v>
      </c>
      <c r="E90" s="95">
        <f t="shared" ref="E90:G90" si="38">E89-E97</f>
        <v>990.04</v>
      </c>
      <c r="F90" s="95">
        <f t="shared" si="38"/>
        <v>958.04</v>
      </c>
      <c r="G90" s="95">
        <f t="shared" si="38"/>
        <v>1016.04</v>
      </c>
      <c r="H90" s="95">
        <f t="shared" ref="H90:I90" si="39">H89-H97</f>
        <v>1043.04</v>
      </c>
      <c r="I90" s="95">
        <f t="shared" si="39"/>
        <v>1080.04</v>
      </c>
      <c r="J90" s="95">
        <f t="shared" si="37"/>
        <v>1180.94</v>
      </c>
      <c r="K90" s="95">
        <f t="shared" ref="K90" si="40">K89-K97</f>
        <v>1249.94</v>
      </c>
      <c r="L90" s="95">
        <f t="shared" si="37"/>
        <v>1323.44</v>
      </c>
      <c r="M90" s="95">
        <f t="shared" si="37"/>
        <v>1357.1399999999999</v>
      </c>
      <c r="N90" s="95">
        <f t="shared" si="37"/>
        <v>1335.6399999999999</v>
      </c>
      <c r="O90" s="95">
        <f t="shared" si="37"/>
        <v>1284.94</v>
      </c>
      <c r="P90" s="95">
        <f t="shared" si="37"/>
        <v>1159.04</v>
      </c>
      <c r="Q90" s="95">
        <f t="shared" si="37"/>
        <v>1140.8400000000001</v>
      </c>
      <c r="R90" s="95">
        <f t="shared" si="37"/>
        <v>1126.3399999999999</v>
      </c>
      <c r="S90" s="95">
        <f t="shared" si="37"/>
        <v>1242.04</v>
      </c>
      <c r="T90" s="95">
        <f t="shared" si="37"/>
        <v>1269.04</v>
      </c>
      <c r="U90" s="95">
        <f t="shared" si="37"/>
        <v>1267.1399999999999</v>
      </c>
      <c r="V90" s="95">
        <f t="shared" si="37"/>
        <v>1262.8400000000001</v>
      </c>
      <c r="W90" s="95">
        <f t="shared" si="37"/>
        <v>1253.04</v>
      </c>
      <c r="X90" s="95">
        <f t="shared" si="37"/>
        <v>1289.24</v>
      </c>
      <c r="Y90" s="95">
        <f t="shared" si="37"/>
        <v>1404.94</v>
      </c>
      <c r="Z90" s="95">
        <f t="shared" si="37"/>
        <v>1468.94</v>
      </c>
      <c r="AA90" s="95">
        <f t="shared" si="37"/>
        <v>1446.14</v>
      </c>
      <c r="AB90" s="95">
        <f t="shared" si="37"/>
        <v>1383.2399999999998</v>
      </c>
      <c r="AC90" s="95">
        <f t="shared" si="37"/>
        <v>1394.54</v>
      </c>
      <c r="AD90" s="95">
        <f t="shared" si="37"/>
        <v>1219.04</v>
      </c>
      <c r="AE90" s="95">
        <f t="shared" si="37"/>
        <v>1124.54</v>
      </c>
      <c r="AF90" s="95">
        <f t="shared" si="37"/>
        <v>1072.3399999999999</v>
      </c>
      <c r="AG90" s="88"/>
      <c r="AH90" s="47">
        <f t="shared" si="22"/>
        <v>1468.94</v>
      </c>
      <c r="AI90" s="48">
        <f t="shared" si="23"/>
        <v>958.04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22"/>
        <v>0</v>
      </c>
      <c r="AI91" s="48">
        <f t="shared" si="23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22"/>
        <v>0</v>
      </c>
      <c r="AI92" s="48">
        <f t="shared" si="23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22"/>
        <v>0</v>
      </c>
      <c r="AI93" s="48">
        <f t="shared" si="23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22"/>
        <v>0</v>
      </c>
      <c r="AI94" s="48">
        <f t="shared" si="23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2"/>
        <v>0</v>
      </c>
      <c r="AI95" s="48">
        <f t="shared" si="23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22"/>
        <v>0</v>
      </c>
      <c r="AI96" s="48">
        <f t="shared" si="23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22"/>
        <v>0</v>
      </c>
      <c r="AI97" s="48">
        <f t="shared" si="23"/>
        <v>0</v>
      </c>
      <c r="AK97" s="49"/>
    </row>
    <row r="98" spans="1:37" ht="15.75" thickBot="1" x14ac:dyDescent="0.3">
      <c r="A98" s="74" t="s">
        <v>102</v>
      </c>
      <c r="B98" s="60">
        <f t="shared" ref="B98:AF98" si="41">B82-B97</f>
        <v>460</v>
      </c>
      <c r="C98" s="60">
        <f t="shared" si="41"/>
        <v>447</v>
      </c>
      <c r="D98" s="60">
        <f t="shared" si="41"/>
        <v>435</v>
      </c>
      <c r="E98" s="60">
        <f t="shared" ref="E98:G98" si="42">E82-E97</f>
        <v>445</v>
      </c>
      <c r="F98" s="60">
        <f t="shared" si="42"/>
        <v>411</v>
      </c>
      <c r="G98" s="60">
        <f t="shared" si="42"/>
        <v>469</v>
      </c>
      <c r="H98" s="60">
        <f t="shared" ref="H98:I98" si="43">H82-H97</f>
        <v>473</v>
      </c>
      <c r="I98" s="60">
        <f t="shared" si="43"/>
        <v>480</v>
      </c>
      <c r="J98" s="60">
        <f t="shared" si="41"/>
        <v>429.9</v>
      </c>
      <c r="K98" s="60">
        <f t="shared" ref="K98" si="44">K82-K97</f>
        <v>434.9</v>
      </c>
      <c r="L98" s="60">
        <f t="shared" si="41"/>
        <v>437</v>
      </c>
      <c r="M98" s="60">
        <f t="shared" si="41"/>
        <v>439.7</v>
      </c>
      <c r="N98" s="60">
        <f t="shared" si="41"/>
        <v>481</v>
      </c>
      <c r="O98" s="60">
        <f t="shared" si="41"/>
        <v>482.7</v>
      </c>
      <c r="P98" s="60">
        <f t="shared" si="41"/>
        <v>506.3</v>
      </c>
      <c r="Q98" s="60">
        <f t="shared" si="41"/>
        <v>500.1</v>
      </c>
      <c r="R98" s="60">
        <f t="shared" si="41"/>
        <v>522.29999999999995</v>
      </c>
      <c r="S98" s="60">
        <f t="shared" si="41"/>
        <v>477.9</v>
      </c>
      <c r="T98" s="60">
        <f t="shared" si="41"/>
        <v>569.09999999999991</v>
      </c>
      <c r="U98" s="60">
        <f t="shared" si="41"/>
        <v>564</v>
      </c>
      <c r="V98" s="60">
        <f t="shared" si="41"/>
        <v>552</v>
      </c>
      <c r="W98" s="60">
        <f t="shared" si="41"/>
        <v>533.20000000000005</v>
      </c>
      <c r="X98" s="60">
        <f t="shared" si="41"/>
        <v>518.20000000000005</v>
      </c>
      <c r="Y98" s="60">
        <f t="shared" si="41"/>
        <v>539.20000000000005</v>
      </c>
      <c r="Z98" s="60">
        <f t="shared" si="41"/>
        <v>514.20000000000005</v>
      </c>
      <c r="AA98" s="60">
        <f t="shared" si="41"/>
        <v>483.59999999999997</v>
      </c>
      <c r="AB98" s="60">
        <f t="shared" si="41"/>
        <v>469.69999999999993</v>
      </c>
      <c r="AC98" s="60">
        <f t="shared" si="41"/>
        <v>495.3</v>
      </c>
      <c r="AD98" s="60">
        <f t="shared" si="41"/>
        <v>526.4</v>
      </c>
      <c r="AE98" s="60">
        <f t="shared" si="41"/>
        <v>496.4</v>
      </c>
      <c r="AF98" s="60">
        <f t="shared" si="41"/>
        <v>500.4</v>
      </c>
      <c r="AG98" s="88"/>
      <c r="AH98" s="47">
        <f t="shared" si="22"/>
        <v>569.09999999999991</v>
      </c>
      <c r="AI98" s="48">
        <f t="shared" si="23"/>
        <v>411</v>
      </c>
    </row>
    <row r="99" spans="1:37" x14ac:dyDescent="0.25">
      <c r="A99" s="100" t="s">
        <v>103</v>
      </c>
      <c r="B99" s="101">
        <v>50.07</v>
      </c>
      <c r="C99" s="101">
        <v>50.07</v>
      </c>
      <c r="D99" s="101">
        <v>50.07</v>
      </c>
      <c r="E99" s="101">
        <v>50.05</v>
      </c>
      <c r="F99" s="101">
        <v>50.02</v>
      </c>
      <c r="G99" s="101">
        <v>50.07</v>
      </c>
      <c r="H99" s="101">
        <v>50.07</v>
      </c>
      <c r="I99" s="101">
        <v>50.07</v>
      </c>
      <c r="J99" s="101">
        <v>49.98</v>
      </c>
      <c r="K99" s="101">
        <v>50.05</v>
      </c>
      <c r="L99" s="101">
        <v>50.04</v>
      </c>
      <c r="M99" s="101">
        <v>50</v>
      </c>
      <c r="N99" s="101">
        <v>49.984999999999999</v>
      </c>
      <c r="O99" s="101">
        <v>50.084000000000003</v>
      </c>
      <c r="P99" s="101">
        <v>49.972000000000001</v>
      </c>
      <c r="Q99" s="101">
        <v>49.872999999999998</v>
      </c>
      <c r="R99" s="101">
        <v>49.941000000000003</v>
      </c>
      <c r="S99" s="101">
        <v>49.945</v>
      </c>
      <c r="T99" s="101">
        <v>49.98</v>
      </c>
      <c r="U99" s="101">
        <v>49.951999999999998</v>
      </c>
      <c r="V99" s="101">
        <v>49.994999999999997</v>
      </c>
      <c r="W99" s="101">
        <v>50.037999999999997</v>
      </c>
      <c r="X99" s="101">
        <v>49.932000000000002</v>
      </c>
      <c r="Y99" s="101">
        <v>50.034999999999997</v>
      </c>
      <c r="Z99" s="101">
        <v>49.79</v>
      </c>
      <c r="AA99" s="101">
        <v>49.948999999999998</v>
      </c>
      <c r="AB99" s="101">
        <v>50.07</v>
      </c>
      <c r="AC99" s="101">
        <v>50.03</v>
      </c>
      <c r="AD99" s="101">
        <v>50.103000000000002</v>
      </c>
      <c r="AE99" s="101">
        <v>50.109000000000002</v>
      </c>
      <c r="AF99" s="101">
        <v>50.012999999999998</v>
      </c>
      <c r="AG99" s="102"/>
      <c r="AH99" s="47">
        <f t="shared" si="22"/>
        <v>50.109000000000002</v>
      </c>
      <c r="AI99" s="48">
        <f t="shared" si="23"/>
        <v>49.79</v>
      </c>
    </row>
    <row r="100" spans="1:37" x14ac:dyDescent="0.25">
      <c r="A100" s="103" t="s">
        <v>104</v>
      </c>
      <c r="B100" s="65">
        <v>128.5</v>
      </c>
      <c r="C100" s="65">
        <v>128.5</v>
      </c>
      <c r="D100" s="65">
        <v>128.5</v>
      </c>
      <c r="E100" s="65">
        <v>128.5</v>
      </c>
      <c r="F100" s="65">
        <v>131</v>
      </c>
      <c r="G100" s="65">
        <v>130.69999999999999</v>
      </c>
      <c r="H100" s="65">
        <v>130.69999999999999</v>
      </c>
      <c r="I100" s="65">
        <v>130.69999999999999</v>
      </c>
      <c r="J100" s="65">
        <v>130</v>
      </c>
      <c r="K100" s="65">
        <v>127.9</v>
      </c>
      <c r="L100" s="65">
        <v>127.7</v>
      </c>
      <c r="M100" s="65">
        <v>127.7</v>
      </c>
      <c r="N100" s="65">
        <v>127.7</v>
      </c>
      <c r="O100" s="65">
        <v>128.30000000000001</v>
      </c>
      <c r="P100" s="65">
        <v>126.6</v>
      </c>
      <c r="Q100" s="65">
        <v>125.5</v>
      </c>
      <c r="R100" s="65">
        <v>125.5</v>
      </c>
      <c r="S100" s="65">
        <v>126.9</v>
      </c>
      <c r="T100" s="65">
        <v>126</v>
      </c>
      <c r="U100" s="65">
        <v>127</v>
      </c>
      <c r="V100" s="65">
        <v>129.4</v>
      </c>
      <c r="W100" s="65">
        <v>130.9</v>
      </c>
      <c r="X100" s="65">
        <v>130.30000000000001</v>
      </c>
      <c r="Y100" s="65">
        <v>128.9</v>
      </c>
      <c r="Z100" s="65">
        <v>128.19999999999999</v>
      </c>
      <c r="AA100" s="65">
        <v>128.9</v>
      </c>
      <c r="AB100" s="65">
        <v>130.69999999999999</v>
      </c>
      <c r="AC100" s="65">
        <v>130.5</v>
      </c>
      <c r="AD100" s="65">
        <v>128.5</v>
      </c>
      <c r="AE100" s="65">
        <v>128.5</v>
      </c>
      <c r="AF100" s="65">
        <v>128.5</v>
      </c>
      <c r="AG100" s="104"/>
      <c r="AH100" s="47">
        <f t="shared" si="22"/>
        <v>131</v>
      </c>
      <c r="AI100" s="48">
        <f t="shared" si="23"/>
        <v>125.5</v>
      </c>
    </row>
    <row r="101" spans="1:37" x14ac:dyDescent="0.25">
      <c r="A101" s="103" t="s">
        <v>105</v>
      </c>
      <c r="B101" s="65">
        <v>132</v>
      </c>
      <c r="C101" s="65">
        <v>132</v>
      </c>
      <c r="D101" s="65">
        <v>132</v>
      </c>
      <c r="E101" s="65">
        <v>132</v>
      </c>
      <c r="F101" s="65">
        <v>134</v>
      </c>
      <c r="G101" s="65">
        <v>133.6</v>
      </c>
      <c r="H101" s="65">
        <v>133.6</v>
      </c>
      <c r="I101" s="65">
        <v>133.6</v>
      </c>
      <c r="J101" s="65">
        <v>130.80000000000001</v>
      </c>
      <c r="K101" s="65">
        <v>129.9</v>
      </c>
      <c r="L101" s="65">
        <v>130</v>
      </c>
      <c r="M101" s="65">
        <v>130.30000000000001</v>
      </c>
      <c r="N101" s="65">
        <v>130.30000000000001</v>
      </c>
      <c r="O101" s="65">
        <v>129.9</v>
      </c>
      <c r="P101" s="65">
        <v>128.4</v>
      </c>
      <c r="Q101" s="65">
        <v>128.9</v>
      </c>
      <c r="R101" s="65">
        <v>128.9</v>
      </c>
      <c r="S101" s="65">
        <v>129.19999999999999</v>
      </c>
      <c r="T101" s="65">
        <v>129</v>
      </c>
      <c r="U101" s="65">
        <v>131.19999999999999</v>
      </c>
      <c r="V101" s="65">
        <v>131.69999999999999</v>
      </c>
      <c r="W101" s="65">
        <v>133</v>
      </c>
      <c r="X101" s="65">
        <v>132.1</v>
      </c>
      <c r="Y101" s="65">
        <v>131</v>
      </c>
      <c r="Z101" s="65">
        <v>130.19999999999999</v>
      </c>
      <c r="AA101" s="65">
        <v>131</v>
      </c>
      <c r="AB101" s="65">
        <v>132.9</v>
      </c>
      <c r="AC101" s="65">
        <v>132.6</v>
      </c>
      <c r="AD101" s="65">
        <v>130.80000000000001</v>
      </c>
      <c r="AE101" s="65">
        <v>130.80000000000001</v>
      </c>
      <c r="AF101" s="65">
        <v>130.80000000000001</v>
      </c>
      <c r="AG101" s="104"/>
      <c r="AH101" s="47">
        <f t="shared" si="22"/>
        <v>134</v>
      </c>
      <c r="AI101" s="48">
        <f t="shared" si="23"/>
        <v>128.4</v>
      </c>
    </row>
    <row r="102" spans="1:37" x14ac:dyDescent="0.25">
      <c r="A102" s="103" t="s">
        <v>106</v>
      </c>
      <c r="B102" s="65">
        <v>130.4</v>
      </c>
      <c r="C102" s="65">
        <v>130.4</v>
      </c>
      <c r="D102" s="65">
        <v>130.4</v>
      </c>
      <c r="E102" s="65">
        <v>130.4</v>
      </c>
      <c r="F102" s="65">
        <v>130.4</v>
      </c>
      <c r="G102" s="65">
        <v>130.80000000000001</v>
      </c>
      <c r="H102" s="65">
        <v>130.80000000000001</v>
      </c>
      <c r="I102" s="65">
        <v>130.80000000000001</v>
      </c>
      <c r="J102" s="65">
        <v>128</v>
      </c>
      <c r="K102" s="65">
        <v>126.1</v>
      </c>
      <c r="L102" s="65">
        <v>127.8</v>
      </c>
      <c r="M102" s="65">
        <v>128.30000000000001</v>
      </c>
      <c r="N102" s="65">
        <v>128.30000000000001</v>
      </c>
      <c r="O102" s="65">
        <v>130.80000000000001</v>
      </c>
      <c r="P102" s="65">
        <v>130.19999999999999</v>
      </c>
      <c r="Q102" s="65">
        <v>129.30000000000001</v>
      </c>
      <c r="R102" s="65">
        <v>129.30000000000001</v>
      </c>
      <c r="S102" s="65">
        <v>128.69999999999999</v>
      </c>
      <c r="T102" s="65">
        <v>130.5</v>
      </c>
      <c r="U102" s="65">
        <v>129</v>
      </c>
      <c r="V102" s="65">
        <v>130.4</v>
      </c>
      <c r="W102" s="65">
        <v>130.19999999999999</v>
      </c>
      <c r="X102" s="65">
        <v>128.30000000000001</v>
      </c>
      <c r="Y102" s="65">
        <v>125.3</v>
      </c>
      <c r="Z102" s="65">
        <v>128.6</v>
      </c>
      <c r="AA102" s="65">
        <v>128</v>
      </c>
      <c r="AB102" s="65">
        <v>127.7</v>
      </c>
      <c r="AC102" s="65">
        <v>129</v>
      </c>
      <c r="AD102" s="65">
        <v>130.69999999999999</v>
      </c>
      <c r="AE102" s="65">
        <v>130.69999999999999</v>
      </c>
      <c r="AF102" s="65">
        <v>130.69999999999999</v>
      </c>
      <c r="AG102" s="104"/>
      <c r="AH102" s="47">
        <f t="shared" si="22"/>
        <v>130.80000000000001</v>
      </c>
      <c r="AI102" s="48">
        <f t="shared" si="23"/>
        <v>125.3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22"/>
        <v>0</v>
      </c>
      <c r="AI103" s="48">
        <f t="shared" si="23"/>
        <v>0</v>
      </c>
    </row>
    <row r="104" spans="1:37" x14ac:dyDescent="0.25">
      <c r="A104" s="105" t="s">
        <v>108</v>
      </c>
      <c r="B104" s="106">
        <v>130</v>
      </c>
      <c r="C104" s="106">
        <v>130</v>
      </c>
      <c r="D104" s="106">
        <v>130</v>
      </c>
      <c r="E104" s="106">
        <v>130</v>
      </c>
      <c r="F104" s="106">
        <v>130</v>
      </c>
      <c r="G104" s="106">
        <v>130</v>
      </c>
      <c r="H104" s="106">
        <v>130</v>
      </c>
      <c r="I104" s="106">
        <v>130</v>
      </c>
      <c r="J104" s="106">
        <v>132</v>
      </c>
      <c r="K104" s="106">
        <v>132.80000000000001</v>
      </c>
      <c r="L104" s="106">
        <v>132.1</v>
      </c>
      <c r="M104" s="106">
        <v>135</v>
      </c>
      <c r="N104" s="106">
        <v>135</v>
      </c>
      <c r="O104" s="106">
        <v>135.9</v>
      </c>
      <c r="P104" s="106">
        <v>134.9</v>
      </c>
      <c r="Q104" s="106">
        <v>134.5</v>
      </c>
      <c r="R104" s="106">
        <v>134.5</v>
      </c>
      <c r="S104" s="106">
        <v>134.30000000000001</v>
      </c>
      <c r="T104" s="106">
        <v>1341.9</v>
      </c>
      <c r="U104" s="106">
        <v>136.19999999999999</v>
      </c>
      <c r="V104" s="106">
        <v>135.80000000000001</v>
      </c>
      <c r="W104" s="106">
        <v>133.80000000000001</v>
      </c>
      <c r="X104" s="106">
        <v>134.30000000000001</v>
      </c>
      <c r="Y104" s="106">
        <v>135</v>
      </c>
      <c r="Z104" s="106">
        <v>133.5</v>
      </c>
      <c r="AA104" s="106">
        <v>135.4</v>
      </c>
      <c r="AB104" s="106">
        <v>137.19999999999999</v>
      </c>
      <c r="AC104" s="106">
        <v>135.30000000000001</v>
      </c>
      <c r="AD104" s="106">
        <v>131.1</v>
      </c>
      <c r="AE104" s="106">
        <v>131.1</v>
      </c>
      <c r="AF104" s="106">
        <v>131.1</v>
      </c>
      <c r="AG104" s="107"/>
      <c r="AH104" s="47">
        <f t="shared" si="22"/>
        <v>1341.9</v>
      </c>
      <c r="AI104" s="48">
        <f t="shared" si="23"/>
        <v>130</v>
      </c>
    </row>
    <row r="105" spans="1:37" x14ac:dyDescent="0.25">
      <c r="A105" s="103" t="s">
        <v>109</v>
      </c>
      <c r="B105" s="65">
        <v>131</v>
      </c>
      <c r="C105" s="65">
        <v>131</v>
      </c>
      <c r="D105" s="65">
        <v>131</v>
      </c>
      <c r="E105" s="65">
        <v>131</v>
      </c>
      <c r="F105" s="65">
        <v>131</v>
      </c>
      <c r="G105" s="65">
        <v>131</v>
      </c>
      <c r="H105" s="65">
        <v>131</v>
      </c>
      <c r="I105" s="65">
        <v>131</v>
      </c>
      <c r="J105" s="65">
        <v>131.19999999999999</v>
      </c>
      <c r="K105" s="65">
        <v>132.30000000000001</v>
      </c>
      <c r="L105" s="65">
        <v>130.30000000000001</v>
      </c>
      <c r="M105" s="65">
        <v>130</v>
      </c>
      <c r="N105" s="65">
        <v>130</v>
      </c>
      <c r="O105" s="65">
        <v>132</v>
      </c>
      <c r="P105" s="65">
        <v>127</v>
      </c>
      <c r="Q105" s="65">
        <v>130.19999999999999</v>
      </c>
      <c r="R105" s="65">
        <v>130.19999999999999</v>
      </c>
      <c r="S105" s="65">
        <v>128.80000000000001</v>
      </c>
      <c r="T105" s="65">
        <v>128.5</v>
      </c>
      <c r="U105" s="65">
        <v>135.1</v>
      </c>
      <c r="V105" s="65">
        <v>127.8</v>
      </c>
      <c r="W105" s="65">
        <v>133.1</v>
      </c>
      <c r="X105" s="65">
        <v>130.4</v>
      </c>
      <c r="Y105" s="65">
        <v>128.69999999999999</v>
      </c>
      <c r="Z105" s="65">
        <v>134.30000000000001</v>
      </c>
      <c r="AA105" s="65">
        <v>133.4</v>
      </c>
      <c r="AB105" s="65">
        <v>134.5</v>
      </c>
      <c r="AC105" s="65">
        <v>130.6</v>
      </c>
      <c r="AD105" s="65">
        <v>132.30000000000001</v>
      </c>
      <c r="AE105" s="65">
        <v>132.30000000000001</v>
      </c>
      <c r="AF105" s="65">
        <v>132.30000000000001</v>
      </c>
      <c r="AG105" s="104"/>
      <c r="AH105" s="47">
        <f t="shared" si="22"/>
        <v>135.1</v>
      </c>
      <c r="AI105" s="48">
        <f t="shared" si="23"/>
        <v>127</v>
      </c>
    </row>
    <row r="106" spans="1:37" ht="15.75" thickBot="1" x14ac:dyDescent="0.3">
      <c r="A106" s="103" t="s">
        <v>110</v>
      </c>
      <c r="B106" s="92">
        <v>66.400000000000006</v>
      </c>
      <c r="C106" s="92">
        <v>66.400000000000006</v>
      </c>
      <c r="D106" s="92">
        <v>66.400000000000006</v>
      </c>
      <c r="E106" s="92">
        <v>66.400000000000006</v>
      </c>
      <c r="F106" s="92">
        <v>66.400000000000006</v>
      </c>
      <c r="G106" s="92">
        <v>66.400000000000006</v>
      </c>
      <c r="H106" s="92">
        <v>66.400000000000006</v>
      </c>
      <c r="I106" s="92">
        <v>66.400000000000006</v>
      </c>
      <c r="J106" s="92">
        <v>65.3</v>
      </c>
      <c r="K106" s="92">
        <v>65.099999999999994</v>
      </c>
      <c r="L106" s="92">
        <v>65.2</v>
      </c>
      <c r="M106" s="92">
        <v>65.400000000000006</v>
      </c>
      <c r="N106" s="92">
        <v>65.400000000000006</v>
      </c>
      <c r="O106" s="92">
        <v>65.3</v>
      </c>
      <c r="P106" s="92">
        <v>65.099999999999994</v>
      </c>
      <c r="Q106" s="92">
        <v>65</v>
      </c>
      <c r="R106" s="92">
        <v>65</v>
      </c>
      <c r="S106" s="92">
        <v>65</v>
      </c>
      <c r="T106" s="92">
        <v>65</v>
      </c>
      <c r="U106" s="92">
        <v>66</v>
      </c>
      <c r="V106" s="92">
        <v>66.3</v>
      </c>
      <c r="W106" s="92">
        <v>66.900000000000006</v>
      </c>
      <c r="X106" s="92">
        <v>66.3</v>
      </c>
      <c r="Y106" s="92">
        <v>65.7</v>
      </c>
      <c r="Z106" s="92">
        <v>65.3</v>
      </c>
      <c r="AA106" s="92">
        <v>65.8</v>
      </c>
      <c r="AB106" s="92">
        <v>66.7</v>
      </c>
      <c r="AC106" s="92">
        <v>66.8</v>
      </c>
      <c r="AD106" s="92">
        <v>65.7</v>
      </c>
      <c r="AE106" s="92">
        <v>65.7</v>
      </c>
      <c r="AF106" s="92">
        <v>65.7</v>
      </c>
      <c r="AG106" s="108"/>
      <c r="AH106" s="47">
        <f t="shared" si="22"/>
        <v>66.900000000000006</v>
      </c>
      <c r="AI106" s="48">
        <f t="shared" si="23"/>
        <v>65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22"/>
        <v>0</v>
      </c>
      <c r="AI107" s="48">
        <f t="shared" si="23"/>
        <v>0</v>
      </c>
    </row>
    <row r="108" spans="1:37" ht="15.75" thickBot="1" x14ac:dyDescent="0.3">
      <c r="A108" s="110" t="s">
        <v>112</v>
      </c>
      <c r="B108" s="111">
        <f t="shared" ref="B108:AF108" si="45">SUM(B18,B24,B27:B28,B56,B58:B59,B61,B63,B109:B113,B135,B141,B147,B156,B158,B170,B177,B180:B181,B188,B190,B192,B196:B198,B200:B202,B207,B213:B214,B216:B218,B226,B231)</f>
        <v>127.99999999999999</v>
      </c>
      <c r="C108" s="111">
        <f t="shared" si="45"/>
        <v>128.93999999999997</v>
      </c>
      <c r="D108" s="111">
        <f t="shared" si="45"/>
        <v>119.93999999999998</v>
      </c>
      <c r="E108" s="111">
        <f t="shared" ref="E108:G108" si="46">SUM(E18,E24,E27:E28,E56,E58:E59,E61,E63,E109:E113,E135,E141,E147,E156,E158,E170,E177,E180:E181,E188,E190,E192,E196:E198,E200:E202,E207,E213:E214,E216:E218,E226,E231)</f>
        <v>154.94</v>
      </c>
      <c r="F108" s="111">
        <f t="shared" si="46"/>
        <v>148.23999999999998</v>
      </c>
      <c r="G108" s="111">
        <f t="shared" si="46"/>
        <v>146.54</v>
      </c>
      <c r="H108" s="111">
        <f t="shared" ref="H108:I108" si="47">SUM(H18,H24,H27:H28,H56,H58:H59,H61,H63,H109:H113,H135,H141,H147,H156,H158,H170,H177,H180:H181,H188,H190,H192,H196:H198,H200:H202,H207,H213:H214,H216:H218,H226,H231)</f>
        <v>157.54</v>
      </c>
      <c r="I108" s="111">
        <f t="shared" si="47"/>
        <v>206.94</v>
      </c>
      <c r="J108" s="111">
        <f t="shared" si="45"/>
        <v>246.04</v>
      </c>
      <c r="K108" s="111">
        <f t="shared" ref="K108" si="48">SUM(K18,K24,K27:K28,K56,K58:K59,K61,K63,K109:K113,K135,K141,K147,K156,K158,K170,K177,K180:K181,K188,K190,K192,K196:K198,K200:K202,K207,K213:K214,K216:K218,K226,K231)</f>
        <v>272.14</v>
      </c>
      <c r="L108" s="111">
        <f t="shared" si="45"/>
        <v>283.33999999999997</v>
      </c>
      <c r="M108" s="111">
        <f t="shared" si="45"/>
        <v>285.14</v>
      </c>
      <c r="N108" s="111">
        <f t="shared" si="45"/>
        <v>293.44</v>
      </c>
      <c r="O108" s="111">
        <f t="shared" si="45"/>
        <v>284.94</v>
      </c>
      <c r="P108" s="111">
        <v>42</v>
      </c>
      <c r="Q108" s="111">
        <f t="shared" si="45"/>
        <v>218</v>
      </c>
      <c r="R108" s="111">
        <f t="shared" si="45"/>
        <v>204.2</v>
      </c>
      <c r="S108" s="111">
        <f t="shared" si="45"/>
        <v>201.5</v>
      </c>
      <c r="T108" s="111">
        <f t="shared" si="45"/>
        <v>216.79999999999998</v>
      </c>
      <c r="U108" s="111">
        <f t="shared" si="45"/>
        <v>226.3</v>
      </c>
      <c r="V108" s="111">
        <f t="shared" si="45"/>
        <v>226.7</v>
      </c>
      <c r="W108" s="111">
        <f t="shared" si="45"/>
        <v>254</v>
      </c>
      <c r="X108" s="111">
        <f t="shared" si="45"/>
        <v>264</v>
      </c>
      <c r="Y108" s="111">
        <f t="shared" si="45"/>
        <v>299.59999999999997</v>
      </c>
      <c r="Z108" s="111">
        <f t="shared" si="45"/>
        <v>322.29999999999995</v>
      </c>
      <c r="AA108" s="111">
        <f t="shared" si="45"/>
        <v>315.59999999999997</v>
      </c>
      <c r="AB108" s="111">
        <f t="shared" si="45"/>
        <v>278</v>
      </c>
      <c r="AC108" s="111">
        <f t="shared" si="45"/>
        <v>255.59999999999997</v>
      </c>
      <c r="AD108" s="111">
        <f t="shared" si="45"/>
        <v>206</v>
      </c>
      <c r="AE108" s="111">
        <f t="shared" si="45"/>
        <v>175.89999999999998</v>
      </c>
      <c r="AF108" s="111">
        <f t="shared" si="45"/>
        <v>129.69999999999999</v>
      </c>
      <c r="AG108" s="112"/>
      <c r="AH108" s="47">
        <f t="shared" si="22"/>
        <v>322.29999999999995</v>
      </c>
      <c r="AI108" s="48">
        <f t="shared" si="23"/>
        <v>42</v>
      </c>
    </row>
    <row r="109" spans="1:37" x14ac:dyDescent="0.25">
      <c r="A109" s="100" t="s">
        <v>113</v>
      </c>
      <c r="B109" s="113">
        <v>-26</v>
      </c>
      <c r="C109" s="113">
        <v>-26</v>
      </c>
      <c r="D109" s="113">
        <v>-18</v>
      </c>
      <c r="E109" s="113">
        <v>19</v>
      </c>
      <c r="F109" s="113">
        <v>-6</v>
      </c>
      <c r="G109" s="113">
        <v>-1.2</v>
      </c>
      <c r="H109" s="113">
        <v>4.2</v>
      </c>
      <c r="I109" s="113">
        <v>13.4</v>
      </c>
      <c r="J109" s="113">
        <v>21.3</v>
      </c>
      <c r="K109" s="113">
        <v>16.899999999999999</v>
      </c>
      <c r="L109" s="113">
        <v>10.199999999999999</v>
      </c>
      <c r="M109" s="113">
        <v>10.6</v>
      </c>
      <c r="N109" s="113">
        <v>5.3</v>
      </c>
      <c r="O109" s="113">
        <v>2.4</v>
      </c>
      <c r="P109" s="113">
        <v>-6.9</v>
      </c>
      <c r="Q109" s="113">
        <v>-8</v>
      </c>
      <c r="R109" s="113">
        <v>-4.8</v>
      </c>
      <c r="S109" s="113">
        <v>-6.5</v>
      </c>
      <c r="T109" s="113">
        <v>-9.6</v>
      </c>
      <c r="U109" s="113">
        <v>-1.6</v>
      </c>
      <c r="V109" s="113">
        <v>-3.8</v>
      </c>
      <c r="W109" s="113">
        <v>-2</v>
      </c>
      <c r="X109" s="113">
        <v>7.2</v>
      </c>
      <c r="Y109" s="113">
        <v>17.3</v>
      </c>
      <c r="Z109" s="113">
        <v>16.7</v>
      </c>
      <c r="AA109" s="113">
        <v>17.600000000000001</v>
      </c>
      <c r="AB109" s="113">
        <v>16.899999999999999</v>
      </c>
      <c r="AC109" s="113">
        <v>2.8</v>
      </c>
      <c r="AD109" s="113">
        <v>-13.8</v>
      </c>
      <c r="AE109" s="113">
        <v>-20.9</v>
      </c>
      <c r="AF109" s="113">
        <v>-25.4</v>
      </c>
      <c r="AG109" s="114">
        <v>75</v>
      </c>
      <c r="AH109" s="47">
        <f t="shared" si="22"/>
        <v>21.3</v>
      </c>
      <c r="AI109" s="48">
        <f t="shared" si="23"/>
        <v>-26</v>
      </c>
    </row>
    <row r="110" spans="1:37" x14ac:dyDescent="0.25">
      <c r="A110" s="103" t="s">
        <v>114</v>
      </c>
      <c r="B110" s="115">
        <v>-35</v>
      </c>
      <c r="C110" s="115">
        <v>-35</v>
      </c>
      <c r="D110" s="115">
        <v>-25</v>
      </c>
      <c r="E110" s="115">
        <v>-27</v>
      </c>
      <c r="F110" s="115">
        <v>-8.6999999999999993</v>
      </c>
      <c r="G110" s="115">
        <v>0</v>
      </c>
      <c r="H110" s="115">
        <v>5.6</v>
      </c>
      <c r="I110" s="115">
        <v>16.100000000000001</v>
      </c>
      <c r="J110" s="115">
        <v>26.4</v>
      </c>
      <c r="K110" s="115">
        <v>16.399999999999999</v>
      </c>
      <c r="L110" s="115">
        <v>4.3</v>
      </c>
      <c r="M110" s="115">
        <v>8.5</v>
      </c>
      <c r="N110" s="115">
        <v>4.0999999999999996</v>
      </c>
      <c r="O110" s="115">
        <v>0</v>
      </c>
      <c r="P110" s="115">
        <v>-9.4</v>
      </c>
      <c r="Q110" s="115">
        <v>-10.7</v>
      </c>
      <c r="R110" s="115">
        <v>-6.6</v>
      </c>
      <c r="S110" s="115">
        <v>-8.1</v>
      </c>
      <c r="T110" s="115">
        <v>-13.5</v>
      </c>
      <c r="U110" s="115">
        <v>-3.6</v>
      </c>
      <c r="V110" s="115">
        <v>-6.5</v>
      </c>
      <c r="W110" s="115">
        <v>-8</v>
      </c>
      <c r="X110" s="115">
        <v>4.8</v>
      </c>
      <c r="Y110" s="115">
        <v>17.2</v>
      </c>
      <c r="Z110" s="115">
        <v>14.1</v>
      </c>
      <c r="AA110" s="115">
        <v>16.3</v>
      </c>
      <c r="AB110" s="115">
        <v>15.6</v>
      </c>
      <c r="AC110" s="115">
        <v>-1.8</v>
      </c>
      <c r="AD110" s="115">
        <v>-23</v>
      </c>
      <c r="AE110" s="115">
        <v>-33</v>
      </c>
      <c r="AF110" s="115">
        <v>-33.799999999999997</v>
      </c>
      <c r="AG110" s="114">
        <v>240</v>
      </c>
      <c r="AH110" s="47">
        <f t="shared" si="22"/>
        <v>26.4</v>
      </c>
      <c r="AI110" s="48">
        <f t="shared" si="23"/>
        <v>-35</v>
      </c>
    </row>
    <row r="111" spans="1:37" x14ac:dyDescent="0.25">
      <c r="A111" s="103" t="s">
        <v>115</v>
      </c>
      <c r="B111" s="115">
        <v>0</v>
      </c>
      <c r="C111" s="115">
        <v>0</v>
      </c>
      <c r="D111" s="115">
        <v>-8</v>
      </c>
      <c r="E111" s="115">
        <v>-8</v>
      </c>
      <c r="F111" s="115">
        <v>-8</v>
      </c>
      <c r="G111" s="115">
        <f>-4.4-4.6</f>
        <v>-9</v>
      </c>
      <c r="H111" s="115">
        <f t="shared" ref="H111" si="49">-4.4-4.6</f>
        <v>-9</v>
      </c>
      <c r="I111" s="115">
        <f>0.8+0.9</f>
        <v>1.7000000000000002</v>
      </c>
      <c r="J111" s="115">
        <f>7+8.3</f>
        <v>15.3</v>
      </c>
      <c r="K111" s="115">
        <f>14.3+15.2</f>
        <v>29.5</v>
      </c>
      <c r="L111" s="115">
        <f>21.3+22.9</f>
        <v>44.2</v>
      </c>
      <c r="M111" s="115">
        <v>39</v>
      </c>
      <c r="N111" s="115">
        <v>41.6</v>
      </c>
      <c r="O111" s="115">
        <v>50.9</v>
      </c>
      <c r="P111" s="115">
        <v>25.7</v>
      </c>
      <c r="Q111" s="115">
        <v>16.899999999999999</v>
      </c>
      <c r="R111" s="115">
        <v>11.3</v>
      </c>
      <c r="S111" s="115">
        <v>-5</v>
      </c>
      <c r="T111" s="115">
        <v>5</v>
      </c>
      <c r="U111" s="115">
        <v>33</v>
      </c>
      <c r="V111" s="115">
        <v>43</v>
      </c>
      <c r="W111" s="115">
        <v>51</v>
      </c>
      <c r="X111" s="115">
        <v>45</v>
      </c>
      <c r="Y111" s="115">
        <v>45</v>
      </c>
      <c r="Z111" s="115">
        <v>63</v>
      </c>
      <c r="AA111" s="115">
        <v>60</v>
      </c>
      <c r="AB111" s="115">
        <f>24.8+23.5</f>
        <v>48.3</v>
      </c>
      <c r="AC111" s="115">
        <f>16.2+16.1</f>
        <v>32.299999999999997</v>
      </c>
      <c r="AD111" s="115">
        <v>26</v>
      </c>
      <c r="AE111" s="115">
        <v>20.9</v>
      </c>
      <c r="AF111" s="115">
        <v>2.4</v>
      </c>
      <c r="AG111" s="114">
        <v>240</v>
      </c>
      <c r="AH111" s="47">
        <f t="shared" si="22"/>
        <v>63</v>
      </c>
      <c r="AI111" s="48">
        <f t="shared" si="23"/>
        <v>-9</v>
      </c>
    </row>
    <row r="112" spans="1:37" x14ac:dyDescent="0.25">
      <c r="A112" s="103" t="s">
        <v>116</v>
      </c>
      <c r="B112" s="115">
        <v>0</v>
      </c>
      <c r="C112" s="115">
        <v>0</v>
      </c>
      <c r="D112" s="115">
        <v>0</v>
      </c>
      <c r="E112" s="115">
        <v>0</v>
      </c>
      <c r="F112" s="115">
        <v>0</v>
      </c>
      <c r="G112" s="115">
        <v>-0.3</v>
      </c>
      <c r="H112" s="115">
        <v>-0.3</v>
      </c>
      <c r="I112" s="115">
        <v>-0.3</v>
      </c>
      <c r="J112" s="115">
        <v>10.5</v>
      </c>
      <c r="K112" s="115">
        <v>15</v>
      </c>
      <c r="L112" s="115">
        <v>17</v>
      </c>
      <c r="M112" s="115">
        <v>17.899999999999999</v>
      </c>
      <c r="N112" s="115">
        <v>35.799999999999997</v>
      </c>
      <c r="O112" s="115">
        <v>34.9</v>
      </c>
      <c r="P112" s="115">
        <v>30.3</v>
      </c>
      <c r="Q112" s="115">
        <v>26.9</v>
      </c>
      <c r="R112" s="115">
        <v>25.7</v>
      </c>
      <c r="S112" s="115">
        <v>23.5</v>
      </c>
      <c r="T112" s="115">
        <v>24.1</v>
      </c>
      <c r="U112" s="115">
        <v>26</v>
      </c>
      <c r="V112" s="115">
        <v>24</v>
      </c>
      <c r="W112" s="115">
        <v>34</v>
      </c>
      <c r="X112" s="115">
        <v>24</v>
      </c>
      <c r="Y112" s="115">
        <v>36.1</v>
      </c>
      <c r="Z112" s="115">
        <v>35.299999999999997</v>
      </c>
      <c r="AA112" s="115">
        <v>36</v>
      </c>
      <c r="AB112" s="115">
        <v>29.4</v>
      </c>
      <c r="AC112" s="115">
        <v>24.7</v>
      </c>
      <c r="AD112" s="115">
        <v>17.600000000000001</v>
      </c>
      <c r="AE112" s="115">
        <v>12.6</v>
      </c>
      <c r="AF112" s="115">
        <v>3.6</v>
      </c>
      <c r="AG112" s="114">
        <v>60</v>
      </c>
      <c r="AH112" s="47">
        <f t="shared" si="22"/>
        <v>36.1</v>
      </c>
      <c r="AI112" s="48">
        <f t="shared" si="23"/>
        <v>-0.3</v>
      </c>
    </row>
    <row r="113" spans="1:37" x14ac:dyDescent="0.25">
      <c r="A113" s="116" t="s">
        <v>117</v>
      </c>
      <c r="B113" s="117">
        <v>95</v>
      </c>
      <c r="C113" s="117">
        <v>95</v>
      </c>
      <c r="D113" s="117">
        <v>76</v>
      </c>
      <c r="E113" s="117">
        <v>76</v>
      </c>
      <c r="F113" s="117">
        <v>76</v>
      </c>
      <c r="G113" s="117">
        <v>62.1</v>
      </c>
      <c r="H113" s="117">
        <v>62.1</v>
      </c>
      <c r="I113" s="117">
        <v>81.099999999999994</v>
      </c>
      <c r="J113" s="117">
        <v>76.599999999999994</v>
      </c>
      <c r="K113" s="117">
        <v>98.4</v>
      </c>
      <c r="L113" s="117">
        <v>112</v>
      </c>
      <c r="M113" s="117">
        <v>113.5</v>
      </c>
      <c r="N113" s="117">
        <v>111</v>
      </c>
      <c r="O113" s="117">
        <v>101.1</v>
      </c>
      <c r="P113" s="117">
        <v>98.7</v>
      </c>
      <c r="Q113" s="117">
        <v>98.2</v>
      </c>
      <c r="R113" s="117">
        <v>83.9</v>
      </c>
      <c r="S113" s="117">
        <v>92.3</v>
      </c>
      <c r="T113" s="117">
        <v>105.5</v>
      </c>
      <c r="U113" s="117">
        <v>67.2</v>
      </c>
      <c r="V113" s="117">
        <v>76</v>
      </c>
      <c r="W113" s="117">
        <v>85</v>
      </c>
      <c r="X113" s="117">
        <v>89</v>
      </c>
      <c r="Y113" s="117">
        <v>90</v>
      </c>
      <c r="Z113" s="117">
        <v>99.2</v>
      </c>
      <c r="AA113" s="117">
        <v>94</v>
      </c>
      <c r="AB113" s="117">
        <v>76.400000000000006</v>
      </c>
      <c r="AC113" s="117">
        <v>105.6</v>
      </c>
      <c r="AD113" s="117">
        <v>107.2</v>
      </c>
      <c r="AE113" s="117">
        <v>104.3</v>
      </c>
      <c r="AF113" s="117">
        <v>90.9</v>
      </c>
      <c r="AG113" s="118">
        <v>120</v>
      </c>
      <c r="AH113" s="47">
        <f t="shared" si="22"/>
        <v>113.5</v>
      </c>
      <c r="AI113" s="48">
        <f t="shared" si="23"/>
        <v>62.1</v>
      </c>
    </row>
    <row r="114" spans="1:37" x14ac:dyDescent="0.25">
      <c r="A114" s="116" t="s">
        <v>118</v>
      </c>
      <c r="B114" s="117">
        <v>80</v>
      </c>
      <c r="C114" s="117">
        <v>80</v>
      </c>
      <c r="D114" s="117">
        <v>64</v>
      </c>
      <c r="E114" s="117">
        <v>64</v>
      </c>
      <c r="F114" s="117">
        <v>64</v>
      </c>
      <c r="G114" s="117">
        <v>64</v>
      </c>
      <c r="H114" s="117">
        <v>64</v>
      </c>
      <c r="I114" s="117">
        <v>58</v>
      </c>
      <c r="J114" s="117">
        <v>52.5</v>
      </c>
      <c r="K114" s="117">
        <v>69.5</v>
      </c>
      <c r="L114" s="117">
        <v>87.5</v>
      </c>
      <c r="M114" s="117">
        <v>857.3</v>
      </c>
      <c r="N114" s="117">
        <v>67.599999999999994</v>
      </c>
      <c r="O114" s="117">
        <v>71.2</v>
      </c>
      <c r="P114" s="117">
        <v>71.5</v>
      </c>
      <c r="Q114" s="117">
        <v>76.599999999999994</v>
      </c>
      <c r="R114" s="117">
        <v>68.5</v>
      </c>
      <c r="S114" s="117">
        <v>74.400000000000006</v>
      </c>
      <c r="T114" s="117">
        <v>85.7</v>
      </c>
      <c r="U114" s="117">
        <v>89</v>
      </c>
      <c r="V114" s="117">
        <v>77</v>
      </c>
      <c r="W114" s="117">
        <v>74</v>
      </c>
      <c r="X114" s="117">
        <v>73</v>
      </c>
      <c r="Y114" s="117">
        <v>72</v>
      </c>
      <c r="Z114" s="117">
        <v>87.3</v>
      </c>
      <c r="AA114" s="117">
        <v>85</v>
      </c>
      <c r="AB114" s="117">
        <v>68.8</v>
      </c>
      <c r="AC114" s="117">
        <v>75.099999999999994</v>
      </c>
      <c r="AD114" s="117">
        <v>83.1</v>
      </c>
      <c r="AE114" s="117">
        <v>82.8</v>
      </c>
      <c r="AF114" s="117">
        <v>77</v>
      </c>
      <c r="AG114" s="118"/>
      <c r="AH114" s="47">
        <f t="shared" si="22"/>
        <v>857.3</v>
      </c>
      <c r="AI114" s="48">
        <f t="shared" si="23"/>
        <v>52.5</v>
      </c>
    </row>
    <row r="115" spans="1:37" x14ac:dyDescent="0.25">
      <c r="A115" s="116" t="s">
        <v>119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>
        <v>15</v>
      </c>
      <c r="Z115" s="117"/>
      <c r="AA115" s="117">
        <v>18.3</v>
      </c>
      <c r="AB115" s="117">
        <v>28.6</v>
      </c>
      <c r="AC115" s="117"/>
      <c r="AD115" s="117">
        <v>44.9</v>
      </c>
      <c r="AE115" s="117"/>
      <c r="AF115" s="117"/>
      <c r="AG115" s="119"/>
      <c r="AH115" s="47">
        <f t="shared" si="22"/>
        <v>44.9</v>
      </c>
      <c r="AI115" s="48">
        <f t="shared" si="23"/>
        <v>15</v>
      </c>
    </row>
    <row r="116" spans="1:37" x14ac:dyDescent="0.25">
      <c r="A116" s="120" t="s">
        <v>120</v>
      </c>
      <c r="B116" s="106">
        <v>-10</v>
      </c>
      <c r="C116" s="106">
        <v>-10</v>
      </c>
      <c r="D116" s="106">
        <v>-3</v>
      </c>
      <c r="E116" s="106">
        <v>-3</v>
      </c>
      <c r="F116" s="106">
        <v>-3</v>
      </c>
      <c r="G116" s="106">
        <v>-3</v>
      </c>
      <c r="H116" s="106">
        <v>-3</v>
      </c>
      <c r="I116" s="106">
        <v>-35.200000000000003</v>
      </c>
      <c r="J116" s="106">
        <v>-53.2</v>
      </c>
      <c r="K116" s="106">
        <v>-59.5</v>
      </c>
      <c r="L116" s="106">
        <v>-68.7</v>
      </c>
      <c r="M116" s="106">
        <v>-17.7</v>
      </c>
      <c r="N116" s="106">
        <v>-60.5</v>
      </c>
      <c r="O116" s="106">
        <v>-56.7</v>
      </c>
      <c r="P116" s="106">
        <v>-52.8</v>
      </c>
      <c r="Q116" s="106">
        <v>-50.6</v>
      </c>
      <c r="R116" s="106">
        <v>-46.7</v>
      </c>
      <c r="S116" s="106">
        <v>-53.6</v>
      </c>
      <c r="T116" s="106">
        <v>-45.8</v>
      </c>
      <c r="U116" s="106">
        <v>-54</v>
      </c>
      <c r="V116" s="106">
        <v>-57</v>
      </c>
      <c r="W116" s="106">
        <v>-62</v>
      </c>
      <c r="X116" s="106">
        <v>-79</v>
      </c>
      <c r="Y116" s="106">
        <v>-89</v>
      </c>
      <c r="Z116" s="106">
        <v>-83</v>
      </c>
      <c r="AA116" s="106">
        <v>-65.3</v>
      </c>
      <c r="AB116" s="106">
        <v>-56.2</v>
      </c>
      <c r="AC116" s="106">
        <v>-43.4</v>
      </c>
      <c r="AD116" s="106">
        <v>-31.1</v>
      </c>
      <c r="AE116" s="106">
        <v>-21.2</v>
      </c>
      <c r="AF116" s="106">
        <v>-20.100000000000001</v>
      </c>
      <c r="AG116" s="119"/>
      <c r="AH116" s="47">
        <f t="shared" si="22"/>
        <v>-3</v>
      </c>
      <c r="AI116" s="48">
        <f t="shared" si="23"/>
        <v>-89</v>
      </c>
    </row>
    <row r="117" spans="1:37" ht="15.75" thickBot="1" x14ac:dyDescent="0.3">
      <c r="A117" s="120" t="s">
        <v>121</v>
      </c>
      <c r="B117" s="106">
        <v>75</v>
      </c>
      <c r="C117" s="106">
        <v>75</v>
      </c>
      <c r="D117" s="106">
        <v>62</v>
      </c>
      <c r="E117" s="106">
        <v>62</v>
      </c>
      <c r="F117" s="106">
        <v>62</v>
      </c>
      <c r="G117" s="106">
        <v>62</v>
      </c>
      <c r="H117" s="106">
        <v>62</v>
      </c>
      <c r="I117" s="106">
        <v>62.5</v>
      </c>
      <c r="J117" s="106">
        <v>72.599999999999994</v>
      </c>
      <c r="K117" s="106">
        <v>74.7</v>
      </c>
      <c r="L117" s="106">
        <v>80</v>
      </c>
      <c r="M117" s="106">
        <v>84.1</v>
      </c>
      <c r="N117" s="106">
        <v>80</v>
      </c>
      <c r="O117" s="106">
        <v>77.400000000000006</v>
      </c>
      <c r="P117" s="106">
        <v>76.7</v>
      </c>
      <c r="Q117" s="106">
        <v>72.900000000000006</v>
      </c>
      <c r="R117" s="106">
        <v>70.3</v>
      </c>
      <c r="S117" s="106">
        <v>74.099999999999994</v>
      </c>
      <c r="T117" s="106">
        <v>69.7</v>
      </c>
      <c r="U117" s="106">
        <v>74</v>
      </c>
      <c r="V117" s="106">
        <v>73</v>
      </c>
      <c r="W117" s="106">
        <v>75</v>
      </c>
      <c r="X117" s="106">
        <v>83</v>
      </c>
      <c r="Y117" s="106">
        <v>104</v>
      </c>
      <c r="Z117" s="106">
        <v>102</v>
      </c>
      <c r="AA117" s="106">
        <v>104</v>
      </c>
      <c r="AB117" s="106">
        <v>105.8</v>
      </c>
      <c r="AC117" s="106">
        <v>100.3</v>
      </c>
      <c r="AD117" s="106">
        <v>89.1</v>
      </c>
      <c r="AE117" s="106">
        <v>74.099999999999994</v>
      </c>
      <c r="AF117" s="106">
        <v>73.599999999999994</v>
      </c>
      <c r="AG117" s="119"/>
      <c r="AH117" s="47">
        <f t="shared" si="22"/>
        <v>105.8</v>
      </c>
      <c r="AI117" s="48">
        <f t="shared" si="23"/>
        <v>62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50">SUM(B119:B223)</f>
        <v>0</v>
      </c>
      <c r="C224" s="136">
        <f t="shared" si="50"/>
        <v>0</v>
      </c>
      <c r="D224" s="136">
        <f t="shared" si="50"/>
        <v>0</v>
      </c>
      <c r="E224" s="136">
        <f t="shared" si="50"/>
        <v>0</v>
      </c>
      <c r="F224" s="136">
        <f t="shared" si="50"/>
        <v>0</v>
      </c>
      <c r="G224" s="136">
        <f t="shared" si="50"/>
        <v>0</v>
      </c>
      <c r="H224" s="136">
        <f t="shared" si="50"/>
        <v>0</v>
      </c>
      <c r="I224" s="136">
        <f t="shared" si="50"/>
        <v>0</v>
      </c>
      <c r="J224" s="136">
        <f t="shared" si="50"/>
        <v>0</v>
      </c>
      <c r="K224" s="136">
        <f t="shared" si="50"/>
        <v>0</v>
      </c>
      <c r="L224" s="136">
        <f t="shared" si="50"/>
        <v>0</v>
      </c>
      <c r="M224" s="136">
        <f t="shared" si="50"/>
        <v>0</v>
      </c>
      <c r="N224" s="136">
        <f t="shared" si="50"/>
        <v>0</v>
      </c>
      <c r="O224" s="136">
        <f t="shared" si="50"/>
        <v>0</v>
      </c>
      <c r="P224" s="136">
        <f t="shared" si="50"/>
        <v>0</v>
      </c>
      <c r="Q224" s="136">
        <f t="shared" si="50"/>
        <v>0</v>
      </c>
      <c r="R224" s="136">
        <f t="shared" si="50"/>
        <v>0</v>
      </c>
      <c r="S224" s="136">
        <f t="shared" si="50"/>
        <v>0</v>
      </c>
      <c r="T224" s="136">
        <f t="shared" si="50"/>
        <v>0</v>
      </c>
      <c r="U224" s="136">
        <f t="shared" si="50"/>
        <v>0</v>
      </c>
      <c r="V224" s="136">
        <f t="shared" si="50"/>
        <v>0</v>
      </c>
      <c r="W224" s="136">
        <f t="shared" si="50"/>
        <v>0</v>
      </c>
      <c r="X224" s="136">
        <f t="shared" si="50"/>
        <v>0</v>
      </c>
      <c r="Y224" s="136">
        <f t="shared" si="50"/>
        <v>0</v>
      </c>
      <c r="Z224" s="136">
        <f t="shared" si="50"/>
        <v>0</v>
      </c>
      <c r="AA224" s="136">
        <f t="shared" si="50"/>
        <v>0</v>
      </c>
      <c r="AB224" s="136">
        <f t="shared" si="50"/>
        <v>0</v>
      </c>
      <c r="AC224" s="136">
        <f t="shared" si="50"/>
        <v>0</v>
      </c>
      <c r="AD224" s="136">
        <f t="shared" si="50"/>
        <v>0</v>
      </c>
      <c r="AE224" s="136">
        <f t="shared" si="50"/>
        <v>0</v>
      </c>
      <c r="AF224" s="137">
        <f t="shared" si="50"/>
        <v>0</v>
      </c>
      <c r="AG224" s="138">
        <f t="shared" si="50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51">AF226</f>
        <v>0</v>
      </c>
      <c r="C226" s="140">
        <v>0.3</v>
      </c>
      <c r="D226" s="140">
        <f t="shared" ref="D226:P231" si="52">C226</f>
        <v>0.3</v>
      </c>
      <c r="E226" s="140">
        <f t="shared" si="52"/>
        <v>0.3</v>
      </c>
      <c r="F226" s="140">
        <f t="shared" si="52"/>
        <v>0.3</v>
      </c>
      <c r="G226" s="140">
        <f t="shared" si="52"/>
        <v>0.3</v>
      </c>
      <c r="H226" s="140">
        <f t="shared" si="52"/>
        <v>0.3</v>
      </c>
      <c r="I226" s="140">
        <f t="shared" si="52"/>
        <v>0.3</v>
      </c>
      <c r="J226" s="140">
        <f t="shared" si="52"/>
        <v>0.3</v>
      </c>
      <c r="K226" s="140">
        <f t="shared" si="52"/>
        <v>0.3</v>
      </c>
      <c r="L226" s="140">
        <f t="shared" si="52"/>
        <v>0.3</v>
      </c>
      <c r="M226" s="140">
        <f t="shared" si="52"/>
        <v>0.3</v>
      </c>
      <c r="N226" s="140">
        <f t="shared" si="52"/>
        <v>0.3</v>
      </c>
      <c r="O226" s="140">
        <f t="shared" si="52"/>
        <v>0.3</v>
      </c>
      <c r="P226" s="140">
        <f t="shared" si="52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51"/>
        <v>0</v>
      </c>
      <c r="C227" s="128">
        <v>0.4</v>
      </c>
      <c r="D227" s="128">
        <f t="shared" si="52"/>
        <v>0.4</v>
      </c>
      <c r="E227" s="128">
        <f t="shared" si="52"/>
        <v>0.4</v>
      </c>
      <c r="F227" s="128">
        <f t="shared" si="52"/>
        <v>0.4</v>
      </c>
      <c r="G227" s="128">
        <f t="shared" si="52"/>
        <v>0.4</v>
      </c>
      <c r="H227" s="128">
        <f t="shared" si="52"/>
        <v>0.4</v>
      </c>
      <c r="I227" s="128">
        <f t="shared" si="52"/>
        <v>0.4</v>
      </c>
      <c r="J227" s="128">
        <f t="shared" si="52"/>
        <v>0.4</v>
      </c>
      <c r="K227" s="128">
        <f t="shared" si="52"/>
        <v>0.4</v>
      </c>
      <c r="L227" s="128">
        <f t="shared" si="52"/>
        <v>0.4</v>
      </c>
      <c r="M227" s="128">
        <f t="shared" si="52"/>
        <v>0.4</v>
      </c>
      <c r="N227" s="128">
        <f t="shared" si="52"/>
        <v>0.4</v>
      </c>
      <c r="O227" s="128">
        <f t="shared" si="52"/>
        <v>0.4</v>
      </c>
      <c r="P227" s="128">
        <f t="shared" si="52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51"/>
        <v>0</v>
      </c>
      <c r="C228" s="128">
        <v>1.5</v>
      </c>
      <c r="D228" s="128">
        <f t="shared" si="52"/>
        <v>1.5</v>
      </c>
      <c r="E228" s="128">
        <f t="shared" si="52"/>
        <v>1.5</v>
      </c>
      <c r="F228" s="128">
        <f t="shared" si="52"/>
        <v>1.5</v>
      </c>
      <c r="G228" s="128">
        <f t="shared" si="52"/>
        <v>1.5</v>
      </c>
      <c r="H228" s="128">
        <f t="shared" si="52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52"/>
        <v>1.5</v>
      </c>
      <c r="K228" s="128">
        <f t="shared" ca="1" si="52"/>
        <v>1.5</v>
      </c>
      <c r="L228" s="128">
        <f t="shared" ca="1" si="52"/>
        <v>1.5</v>
      </c>
      <c r="M228" s="128">
        <f t="shared" ca="1" si="52"/>
        <v>1.5</v>
      </c>
      <c r="N228" s="128">
        <f t="shared" ca="1" si="52"/>
        <v>1.5</v>
      </c>
      <c r="O228" s="128">
        <f t="shared" ca="1" si="52"/>
        <v>1.5</v>
      </c>
      <c r="P228" s="128">
        <f t="shared" ca="1" si="52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51"/>
        <v>0</v>
      </c>
      <c r="C229" s="128">
        <v>0.3</v>
      </c>
      <c r="D229" s="128">
        <f t="shared" si="52"/>
        <v>0.3</v>
      </c>
      <c r="E229" s="128">
        <f t="shared" si="52"/>
        <v>0.3</v>
      </c>
      <c r="F229" s="128">
        <f t="shared" si="52"/>
        <v>0.3</v>
      </c>
      <c r="G229" s="128">
        <f t="shared" si="52"/>
        <v>0.3</v>
      </c>
      <c r="H229" s="128">
        <f t="shared" si="52"/>
        <v>0.3</v>
      </c>
      <c r="I229" s="128">
        <f t="shared" si="52"/>
        <v>0.3</v>
      </c>
      <c r="J229" s="128">
        <f t="shared" si="52"/>
        <v>0.3</v>
      </c>
      <c r="K229" s="128">
        <f t="shared" si="52"/>
        <v>0.3</v>
      </c>
      <c r="L229" s="128">
        <f t="shared" si="52"/>
        <v>0.3</v>
      </c>
      <c r="M229" s="128">
        <f t="shared" si="52"/>
        <v>0.3</v>
      </c>
      <c r="N229" s="128">
        <f t="shared" si="52"/>
        <v>0.3</v>
      </c>
      <c r="O229" s="128">
        <f t="shared" si="52"/>
        <v>0.3</v>
      </c>
      <c r="P229" s="128">
        <f t="shared" si="52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51"/>
        <v>0</v>
      </c>
      <c r="C230" s="128">
        <v>0.4</v>
      </c>
      <c r="D230" s="128">
        <f t="shared" si="52"/>
        <v>0.4</v>
      </c>
      <c r="E230" s="128">
        <f t="shared" si="52"/>
        <v>0.4</v>
      </c>
      <c r="F230" s="128">
        <f t="shared" si="52"/>
        <v>0.4</v>
      </c>
      <c r="G230" s="128">
        <f t="shared" si="52"/>
        <v>0.4</v>
      </c>
      <c r="H230" s="128">
        <f t="shared" si="52"/>
        <v>0.4</v>
      </c>
      <c r="I230" s="128">
        <f t="shared" si="52"/>
        <v>0.4</v>
      </c>
      <c r="J230" s="128">
        <f t="shared" si="52"/>
        <v>0.4</v>
      </c>
      <c r="K230" s="128">
        <f t="shared" si="52"/>
        <v>0.4</v>
      </c>
      <c r="L230" s="128">
        <f t="shared" si="52"/>
        <v>0.4</v>
      </c>
      <c r="M230" s="128">
        <f t="shared" si="52"/>
        <v>0.4</v>
      </c>
      <c r="N230" s="128">
        <f t="shared" si="52"/>
        <v>0.4</v>
      </c>
      <c r="O230" s="128">
        <f t="shared" si="52"/>
        <v>0.4</v>
      </c>
      <c r="P230" s="128">
        <f t="shared" si="52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51"/>
        <v>0</v>
      </c>
      <c r="C231" s="132">
        <v>0.64</v>
      </c>
      <c r="D231" s="132">
        <f t="shared" si="52"/>
        <v>0.64</v>
      </c>
      <c r="E231" s="132">
        <f t="shared" si="52"/>
        <v>0.64</v>
      </c>
      <c r="F231" s="132">
        <f t="shared" si="52"/>
        <v>0.64</v>
      </c>
      <c r="G231" s="132">
        <f t="shared" si="52"/>
        <v>0.64</v>
      </c>
      <c r="H231" s="132">
        <f t="shared" si="52"/>
        <v>0.64</v>
      </c>
      <c r="I231" s="132">
        <f t="shared" si="52"/>
        <v>0.64</v>
      </c>
      <c r="J231" s="132">
        <f t="shared" si="52"/>
        <v>0.64</v>
      </c>
      <c r="K231" s="132">
        <f t="shared" si="52"/>
        <v>0.64</v>
      </c>
      <c r="L231" s="132">
        <f t="shared" si="52"/>
        <v>0.64</v>
      </c>
      <c r="M231" s="132">
        <f t="shared" si="52"/>
        <v>0.64</v>
      </c>
      <c r="N231" s="132">
        <f t="shared" si="52"/>
        <v>0.64</v>
      </c>
      <c r="O231" s="132">
        <f t="shared" si="52"/>
        <v>0.64</v>
      </c>
      <c r="P231" s="132">
        <f t="shared" si="52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53">SUM(B226:B231)</f>
        <v>0</v>
      </c>
      <c r="C232" s="136">
        <f t="shared" si="53"/>
        <v>3.54</v>
      </c>
      <c r="D232" s="136">
        <f t="shared" si="53"/>
        <v>3.54</v>
      </c>
      <c r="E232" s="136">
        <f t="shared" si="53"/>
        <v>3.54</v>
      </c>
      <c r="F232" s="136">
        <f t="shared" si="53"/>
        <v>3.54</v>
      </c>
      <c r="G232" s="136">
        <f t="shared" si="53"/>
        <v>3.54</v>
      </c>
      <c r="H232" s="136">
        <f t="shared" si="53"/>
        <v>3.54</v>
      </c>
      <c r="I232" s="136">
        <f t="shared" ca="1" si="53"/>
        <v>3.54</v>
      </c>
      <c r="J232" s="136">
        <f t="shared" ca="1" si="53"/>
        <v>3.54</v>
      </c>
      <c r="K232" s="136">
        <f t="shared" ca="1" si="53"/>
        <v>3.54</v>
      </c>
      <c r="L232" s="136">
        <f t="shared" ca="1" si="53"/>
        <v>3.54</v>
      </c>
      <c r="M232" s="136">
        <f t="shared" ca="1" si="53"/>
        <v>3.54</v>
      </c>
      <c r="N232" s="136">
        <f t="shared" ca="1" si="53"/>
        <v>3.54</v>
      </c>
      <c r="O232" s="136">
        <f t="shared" ca="1" si="53"/>
        <v>3.54</v>
      </c>
      <c r="P232" s="136">
        <f t="shared" ca="1" si="53"/>
        <v>3.54</v>
      </c>
      <c r="Q232" s="136">
        <f t="shared" si="53"/>
        <v>0</v>
      </c>
      <c r="R232" s="136">
        <f t="shared" si="53"/>
        <v>0</v>
      </c>
      <c r="S232" s="136">
        <f t="shared" si="53"/>
        <v>0</v>
      </c>
      <c r="T232" s="136">
        <f t="shared" si="53"/>
        <v>0</v>
      </c>
      <c r="U232" s="136">
        <f t="shared" si="53"/>
        <v>0</v>
      </c>
      <c r="V232" s="136">
        <f t="shared" si="53"/>
        <v>0</v>
      </c>
      <c r="W232" s="136">
        <f t="shared" si="53"/>
        <v>0</v>
      </c>
      <c r="X232" s="136">
        <f t="shared" si="53"/>
        <v>0</v>
      </c>
      <c r="Y232" s="136">
        <f t="shared" si="53"/>
        <v>0</v>
      </c>
      <c r="Z232" s="136">
        <f t="shared" si="53"/>
        <v>0</v>
      </c>
      <c r="AA232" s="136">
        <f t="shared" si="53"/>
        <v>0</v>
      </c>
      <c r="AB232" s="136">
        <f t="shared" si="53"/>
        <v>0</v>
      </c>
      <c r="AC232" s="136">
        <f t="shared" si="53"/>
        <v>0</v>
      </c>
      <c r="AD232" s="136">
        <f t="shared" si="53"/>
        <v>0</v>
      </c>
      <c r="AE232" s="136">
        <f t="shared" si="53"/>
        <v>0</v>
      </c>
      <c r="AF232" s="136">
        <f t="shared" si="53"/>
        <v>0</v>
      </c>
      <c r="AG232" s="145">
        <f t="shared" si="53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1357.1399999999999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27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2079/11/27)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2079/11/27)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54">B89</f>
        <v>1070.04</v>
      </c>
      <c r="U246" s="170">
        <f t="shared" si="54"/>
        <v>1037.04</v>
      </c>
      <c r="V246" s="170">
        <f t="shared" si="54"/>
        <v>1005.04</v>
      </c>
      <c r="W246" s="170">
        <f t="shared" si="54"/>
        <v>990.04</v>
      </c>
      <c r="X246" s="170">
        <f t="shared" si="54"/>
        <v>958.04</v>
      </c>
      <c r="Y246" s="170">
        <f t="shared" si="54"/>
        <v>1016.04</v>
      </c>
      <c r="Z246" s="170">
        <f t="shared" si="54"/>
        <v>1043.04</v>
      </c>
      <c r="AA246" s="170">
        <f t="shared" si="54"/>
        <v>1080.04</v>
      </c>
      <c r="AB246" s="170">
        <f t="shared" si="54"/>
        <v>1180.94</v>
      </c>
      <c r="AC246" s="170">
        <f t="shared" si="54"/>
        <v>1249.94</v>
      </c>
      <c r="AD246" s="170">
        <f t="shared" si="54"/>
        <v>1323.44</v>
      </c>
      <c r="AE246" s="170">
        <f t="shared" si="54"/>
        <v>1357.1399999999999</v>
      </c>
      <c r="AF246" s="170">
        <f t="shared" si="54"/>
        <v>1335.6399999999999</v>
      </c>
      <c r="AG246" s="170">
        <f t="shared" si="54"/>
        <v>1284.94</v>
      </c>
      <c r="AH246" s="170">
        <f t="shared" si="54"/>
        <v>1159.04</v>
      </c>
      <c r="AI246" s="170">
        <f t="shared" si="54"/>
        <v>1140.8400000000001</v>
      </c>
      <c r="AJ246" s="170">
        <f t="shared" si="54"/>
        <v>1126.3399999999999</v>
      </c>
      <c r="AK246" s="170">
        <f t="shared" si="54"/>
        <v>1242.04</v>
      </c>
      <c r="AL246" s="170">
        <f t="shared" si="54"/>
        <v>1269.04</v>
      </c>
      <c r="AM246" s="170">
        <f t="shared" si="54"/>
        <v>1267.1399999999999</v>
      </c>
      <c r="AN246" s="170">
        <f t="shared" si="54"/>
        <v>1262.8400000000001</v>
      </c>
      <c r="AO246" s="170">
        <f t="shared" si="54"/>
        <v>1253.04</v>
      </c>
      <c r="AP246" s="170">
        <f t="shared" si="54"/>
        <v>1289.24</v>
      </c>
      <c r="AQ246" s="170">
        <f t="shared" si="54"/>
        <v>1404.94</v>
      </c>
      <c r="AR246" s="170">
        <f t="shared" si="54"/>
        <v>1468.94</v>
      </c>
      <c r="AS246" s="170">
        <f t="shared" si="54"/>
        <v>1446.14</v>
      </c>
      <c r="AT246" s="170">
        <f t="shared" si="54"/>
        <v>1383.2399999999998</v>
      </c>
      <c r="AU246" s="170">
        <f t="shared" si="54"/>
        <v>1394.54</v>
      </c>
      <c r="AV246" s="170">
        <f t="shared" si="54"/>
        <v>1219.04</v>
      </c>
      <c r="AW246" s="170">
        <f t="shared" si="54"/>
        <v>1124.54</v>
      </c>
      <c r="AX246" s="170">
        <f t="shared" si="54"/>
        <v>1072.3399999999999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55">C231</f>
        <v>0.64</v>
      </c>
      <c r="C267" s="173">
        <f t="shared" si="55"/>
        <v>0.64</v>
      </c>
      <c r="D267" s="173">
        <f t="shared" si="55"/>
        <v>0.64</v>
      </c>
      <c r="E267" s="173">
        <f t="shared" si="55"/>
        <v>0.64</v>
      </c>
      <c r="F267" s="173">
        <f t="shared" si="55"/>
        <v>0.64</v>
      </c>
      <c r="G267" s="173">
        <f t="shared" si="55"/>
        <v>0.64</v>
      </c>
      <c r="H267" s="173">
        <f t="shared" si="55"/>
        <v>0.64</v>
      </c>
      <c r="I267" s="173">
        <f t="shared" si="55"/>
        <v>0.64</v>
      </c>
      <c r="J267" s="173">
        <f t="shared" si="55"/>
        <v>0.64</v>
      </c>
      <c r="K267" s="173">
        <f t="shared" si="55"/>
        <v>0.64</v>
      </c>
      <c r="L267" s="173">
        <f t="shared" si="55"/>
        <v>0.64</v>
      </c>
      <c r="M267" s="173">
        <f t="shared" si="55"/>
        <v>0.64</v>
      </c>
      <c r="N267" s="173">
        <f t="shared" si="55"/>
        <v>0.64</v>
      </c>
      <c r="O267" s="173">
        <f t="shared" si="55"/>
        <v>0.64</v>
      </c>
      <c r="P267" s="173">
        <f t="shared" si="55"/>
        <v>0</v>
      </c>
      <c r="Q267" s="173">
        <f t="shared" si="55"/>
        <v>0</v>
      </c>
      <c r="R267" s="173">
        <f t="shared" si="55"/>
        <v>0</v>
      </c>
      <c r="S267" s="173">
        <f t="shared" si="55"/>
        <v>0</v>
      </c>
      <c r="T267" s="173">
        <f t="shared" si="55"/>
        <v>0</v>
      </c>
      <c r="U267" s="173">
        <f t="shared" si="55"/>
        <v>0</v>
      </c>
      <c r="V267" s="173">
        <f t="shared" si="55"/>
        <v>0</v>
      </c>
      <c r="W267" s="173">
        <f t="shared" si="55"/>
        <v>0</v>
      </c>
      <c r="X267" s="173">
        <f t="shared" si="55"/>
        <v>0</v>
      </c>
      <c r="Y267" s="173">
        <f t="shared" si="55"/>
        <v>0</v>
      </c>
      <c r="Z267" s="173">
        <f t="shared" si="55"/>
        <v>0</v>
      </c>
      <c r="AA267" s="173">
        <f t="shared" si="55"/>
        <v>0</v>
      </c>
      <c r="AB267" s="173">
        <f t="shared" si="55"/>
        <v>0</v>
      </c>
      <c r="AC267" s="173">
        <f t="shared" si="55"/>
        <v>0</v>
      </c>
      <c r="AD267" s="173">
        <f t="shared" si="55"/>
        <v>0</v>
      </c>
      <c r="AE267" s="173">
        <f t="shared" si="55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56">IF(B235&lt;100,"",B235-520)</f>
        <v/>
      </c>
      <c r="C268" s="174" t="str">
        <f t="shared" si="56"/>
        <v/>
      </c>
      <c r="D268" s="174" t="str">
        <f t="shared" si="56"/>
        <v/>
      </c>
      <c r="E268" s="174" t="str">
        <f t="shared" si="56"/>
        <v/>
      </c>
      <c r="F268" s="174" t="str">
        <f t="shared" si="56"/>
        <v/>
      </c>
      <c r="G268" s="174" t="str">
        <f t="shared" si="56"/>
        <v/>
      </c>
      <c r="H268" s="174" t="str">
        <f t="shared" si="56"/>
        <v/>
      </c>
      <c r="I268" s="174" t="str">
        <f t="shared" si="56"/>
        <v/>
      </c>
      <c r="J268" s="174" t="str">
        <f t="shared" si="56"/>
        <v/>
      </c>
      <c r="K268" s="174" t="str">
        <f t="shared" si="56"/>
        <v/>
      </c>
      <c r="L268" s="174" t="str">
        <f t="shared" si="56"/>
        <v/>
      </c>
      <c r="M268" s="174" t="str">
        <f t="shared" si="56"/>
        <v/>
      </c>
      <c r="N268" s="174" t="str">
        <f t="shared" si="56"/>
        <v/>
      </c>
      <c r="O268" s="174" t="str">
        <f t="shared" si="56"/>
        <v/>
      </c>
      <c r="P268" s="174" t="str">
        <f t="shared" si="56"/>
        <v/>
      </c>
      <c r="Q268" s="174" t="str">
        <f t="shared" si="56"/>
        <v/>
      </c>
      <c r="R268" s="174" t="str">
        <f t="shared" si="56"/>
        <v/>
      </c>
      <c r="S268" s="174" t="str">
        <f t="shared" si="56"/>
        <v/>
      </c>
      <c r="T268" s="174" t="str">
        <f t="shared" si="56"/>
        <v/>
      </c>
      <c r="U268" s="174" t="str">
        <f t="shared" si="56"/>
        <v/>
      </c>
      <c r="V268" s="174" t="str">
        <f t="shared" si="56"/>
        <v/>
      </c>
      <c r="W268" s="174" t="str">
        <f t="shared" si="56"/>
        <v/>
      </c>
      <c r="X268" s="174" t="str">
        <f t="shared" si="56"/>
        <v/>
      </c>
      <c r="Y268" s="174" t="str">
        <f t="shared" si="56"/>
        <v/>
      </c>
      <c r="Z268" s="174" t="str">
        <f t="shared" si="56"/>
        <v/>
      </c>
      <c r="AA268" s="174" t="str">
        <f t="shared" si="56"/>
        <v/>
      </c>
      <c r="AB268" s="174" t="str">
        <f t="shared" si="56"/>
        <v/>
      </c>
      <c r="AC268" s="174" t="str">
        <f t="shared" si="56"/>
        <v/>
      </c>
      <c r="AD268" s="174" t="str">
        <f t="shared" si="56"/>
        <v/>
      </c>
      <c r="AE268" s="174" t="str">
        <f t="shared" si="56"/>
        <v/>
      </c>
      <c r="AF268" s="174" t="str">
        <f t="shared" si="56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57">IF(B236&lt;100,"",B236-620)</f>
        <v/>
      </c>
      <c r="C269" s="174" t="str">
        <f t="shared" si="57"/>
        <v/>
      </c>
      <c r="D269" s="174" t="str">
        <f t="shared" si="57"/>
        <v/>
      </c>
      <c r="E269" s="174" t="str">
        <f t="shared" si="57"/>
        <v/>
      </c>
      <c r="F269" s="174" t="str">
        <f t="shared" si="57"/>
        <v/>
      </c>
      <c r="G269" s="174" t="str">
        <f t="shared" si="57"/>
        <v/>
      </c>
      <c r="H269" s="174" t="str">
        <f t="shared" si="57"/>
        <v/>
      </c>
      <c r="I269" s="174" t="str">
        <f t="shared" si="57"/>
        <v/>
      </c>
      <c r="J269" s="174" t="str">
        <f t="shared" si="57"/>
        <v/>
      </c>
      <c r="K269" s="174" t="str">
        <f t="shared" si="57"/>
        <v/>
      </c>
      <c r="L269" s="174" t="str">
        <f t="shared" si="57"/>
        <v/>
      </c>
      <c r="M269" s="174" t="str">
        <f t="shared" si="57"/>
        <v/>
      </c>
      <c r="N269" s="174" t="str">
        <f t="shared" si="57"/>
        <v/>
      </c>
      <c r="O269" s="174" t="str">
        <f t="shared" si="57"/>
        <v/>
      </c>
      <c r="P269" s="174" t="str">
        <f t="shared" si="57"/>
        <v/>
      </c>
      <c r="Q269" s="174" t="str">
        <f t="shared" si="57"/>
        <v/>
      </c>
      <c r="R269" s="174" t="str">
        <f t="shared" si="57"/>
        <v/>
      </c>
      <c r="S269" s="174" t="str">
        <f t="shared" si="57"/>
        <v/>
      </c>
      <c r="T269" s="174" t="str">
        <f t="shared" si="57"/>
        <v/>
      </c>
      <c r="U269" s="174" t="str">
        <f t="shared" si="57"/>
        <v/>
      </c>
      <c r="V269" s="174" t="str">
        <f t="shared" si="57"/>
        <v/>
      </c>
      <c r="W269" s="174" t="str">
        <f t="shared" si="57"/>
        <v/>
      </c>
      <c r="X269" s="174" t="str">
        <f t="shared" si="57"/>
        <v/>
      </c>
      <c r="Y269" s="174" t="str">
        <f t="shared" si="57"/>
        <v/>
      </c>
      <c r="Z269" s="174" t="str">
        <f t="shared" si="57"/>
        <v/>
      </c>
      <c r="AA269" s="174" t="str">
        <f t="shared" si="57"/>
        <v/>
      </c>
      <c r="AB269" s="174" t="str">
        <f t="shared" si="57"/>
        <v/>
      </c>
      <c r="AC269" s="174" t="str">
        <f t="shared" si="57"/>
        <v/>
      </c>
      <c r="AD269" s="174" t="str">
        <f t="shared" si="57"/>
        <v/>
      </c>
      <c r="AE269" s="174" t="str">
        <f t="shared" si="57"/>
        <v/>
      </c>
      <c r="AF269" s="174" t="str">
        <f t="shared" si="57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58">IF(B237&lt;100,"",B237-330)</f>
        <v/>
      </c>
      <c r="C270" s="174" t="str">
        <f t="shared" si="58"/>
        <v/>
      </c>
      <c r="D270" s="174" t="str">
        <f t="shared" si="58"/>
        <v/>
      </c>
      <c r="E270" s="174" t="str">
        <f t="shared" si="58"/>
        <v/>
      </c>
      <c r="F270" s="174" t="str">
        <f t="shared" si="58"/>
        <v/>
      </c>
      <c r="G270" s="174" t="str">
        <f t="shared" si="58"/>
        <v/>
      </c>
      <c r="H270" s="174" t="str">
        <f t="shared" si="58"/>
        <v/>
      </c>
      <c r="I270" s="174" t="str">
        <f t="shared" si="58"/>
        <v/>
      </c>
      <c r="J270" s="174" t="str">
        <f t="shared" si="58"/>
        <v/>
      </c>
      <c r="K270" s="174" t="str">
        <f t="shared" si="58"/>
        <v/>
      </c>
      <c r="L270" s="174" t="str">
        <f t="shared" si="58"/>
        <v/>
      </c>
      <c r="M270" s="174" t="str">
        <f t="shared" si="58"/>
        <v/>
      </c>
      <c r="N270" s="174" t="str">
        <f t="shared" si="58"/>
        <v/>
      </c>
      <c r="O270" s="174" t="str">
        <f t="shared" si="58"/>
        <v/>
      </c>
      <c r="P270" s="174" t="str">
        <f t="shared" si="58"/>
        <v/>
      </c>
      <c r="Q270" s="174" t="str">
        <f t="shared" si="58"/>
        <v/>
      </c>
      <c r="R270" s="174" t="str">
        <f t="shared" si="58"/>
        <v/>
      </c>
      <c r="S270" s="174" t="str">
        <f t="shared" si="58"/>
        <v/>
      </c>
      <c r="T270" s="174" t="str">
        <f t="shared" si="58"/>
        <v/>
      </c>
      <c r="U270" s="174" t="str">
        <f t="shared" si="58"/>
        <v/>
      </c>
      <c r="V270" s="174" t="str">
        <f t="shared" si="58"/>
        <v/>
      </c>
      <c r="W270" s="174" t="str">
        <f t="shared" si="58"/>
        <v/>
      </c>
      <c r="X270" s="174" t="str">
        <f t="shared" si="58"/>
        <v/>
      </c>
      <c r="Y270" s="174" t="str">
        <f t="shared" si="58"/>
        <v/>
      </c>
      <c r="Z270" s="174" t="str">
        <f t="shared" si="58"/>
        <v/>
      </c>
      <c r="AA270" s="174" t="str">
        <f t="shared" si="58"/>
        <v/>
      </c>
      <c r="AB270" s="174" t="str">
        <f t="shared" si="58"/>
        <v/>
      </c>
      <c r="AC270" s="174" t="str">
        <f t="shared" si="58"/>
        <v/>
      </c>
      <c r="AD270" s="174" t="str">
        <f t="shared" si="58"/>
        <v/>
      </c>
      <c r="AE270" s="174" t="str">
        <f t="shared" si="58"/>
        <v/>
      </c>
      <c r="AF270" s="174" t="str">
        <f t="shared" si="58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59">IF(B238&lt;100,"",B238-1500)</f>
        <v/>
      </c>
      <c r="C271" s="174" t="str">
        <f t="shared" si="59"/>
        <v/>
      </c>
      <c r="D271" s="174" t="str">
        <f t="shared" si="59"/>
        <v/>
      </c>
      <c r="E271" s="174" t="str">
        <f t="shared" si="59"/>
        <v/>
      </c>
      <c r="F271" s="174" t="str">
        <f t="shared" si="59"/>
        <v/>
      </c>
      <c r="G271" s="174" t="str">
        <f t="shared" si="59"/>
        <v/>
      </c>
      <c r="H271" s="174" t="str">
        <f t="shared" si="59"/>
        <v/>
      </c>
      <c r="I271" s="174" t="str">
        <f t="shared" si="59"/>
        <v/>
      </c>
      <c r="J271" s="174" t="str">
        <f t="shared" si="59"/>
        <v/>
      </c>
      <c r="K271" s="174" t="str">
        <f t="shared" si="59"/>
        <v/>
      </c>
      <c r="L271" s="174" t="str">
        <f t="shared" si="59"/>
        <v/>
      </c>
      <c r="M271" s="174" t="str">
        <f t="shared" si="59"/>
        <v/>
      </c>
      <c r="N271" s="174" t="str">
        <f t="shared" si="59"/>
        <v/>
      </c>
      <c r="O271" s="174" t="str">
        <f t="shared" si="59"/>
        <v/>
      </c>
      <c r="P271" s="174" t="str">
        <f t="shared" si="59"/>
        <v/>
      </c>
      <c r="Q271" s="174" t="str">
        <f t="shared" si="59"/>
        <v/>
      </c>
      <c r="R271" s="174" t="str">
        <f t="shared" si="59"/>
        <v/>
      </c>
      <c r="S271" s="174" t="str">
        <f t="shared" si="59"/>
        <v/>
      </c>
      <c r="T271" s="174" t="str">
        <f t="shared" si="59"/>
        <v/>
      </c>
      <c r="U271" s="174" t="str">
        <f t="shared" si="59"/>
        <v/>
      </c>
      <c r="V271" s="174" t="str">
        <f t="shared" si="59"/>
        <v/>
      </c>
      <c r="W271" s="174" t="str">
        <f t="shared" si="59"/>
        <v/>
      </c>
      <c r="X271" s="174" t="str">
        <f t="shared" si="59"/>
        <v/>
      </c>
      <c r="Y271" s="174" t="str">
        <f t="shared" si="59"/>
        <v/>
      </c>
      <c r="Z271" s="174" t="str">
        <f t="shared" si="59"/>
        <v/>
      </c>
      <c r="AA271" s="174" t="str">
        <f t="shared" si="59"/>
        <v/>
      </c>
      <c r="AB271" s="174" t="str">
        <f t="shared" si="59"/>
        <v/>
      </c>
      <c r="AC271" s="174" t="str">
        <f t="shared" si="59"/>
        <v/>
      </c>
      <c r="AD271" s="174" t="str">
        <f t="shared" si="59"/>
        <v/>
      </c>
      <c r="AE271" s="174" t="str">
        <f t="shared" si="59"/>
        <v/>
      </c>
      <c r="AF271" s="174" t="str">
        <f t="shared" si="59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J109:AF109 J111:AF116">
    <cfRule type="expression" dxfId="2887" priority="378">
      <formula>B$9&gt;=20/24</formula>
    </cfRule>
    <cfRule type="expression" dxfId="2886" priority="379">
      <formula>AND(B$9&gt;=14/24,B$9&lt;20/24)</formula>
    </cfRule>
    <cfRule type="expression" dxfId="2885" priority="380">
      <formula>AND(B$9&gt;=8/24,B$9&lt;14/24)</formula>
    </cfRule>
    <cfRule type="expression" dxfId="2884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883" priority="376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882" priority="375">
      <formula>$AH12=0</formula>
    </cfRule>
  </conditionalFormatting>
  <conditionalFormatting sqref="A114">
    <cfRule type="expression" dxfId="2881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880" priority="372">
      <formula>$AH45=0</formula>
    </cfRule>
  </conditionalFormatting>
  <conditionalFormatting sqref="A98">
    <cfRule type="expression" dxfId="2879" priority="371">
      <formula>$AH98=0</formula>
    </cfRule>
  </conditionalFormatting>
  <conditionalFormatting sqref="A18">
    <cfRule type="expression" dxfId="2878" priority="370">
      <formula>$AH18=0</formula>
    </cfRule>
  </conditionalFormatting>
  <conditionalFormatting sqref="A196:A201">
    <cfRule type="expression" dxfId="2877" priority="369">
      <formula>$AH196=0</formula>
    </cfRule>
  </conditionalFormatting>
  <conditionalFormatting sqref="A190:A195">
    <cfRule type="expression" dxfId="2876" priority="368">
      <formula>$AH190=0</formula>
    </cfRule>
  </conditionalFormatting>
  <conditionalFormatting sqref="A58">
    <cfRule type="expression" dxfId="2875" priority="367">
      <formula>$AH58=0</formula>
    </cfRule>
  </conditionalFormatting>
  <conditionalFormatting sqref="A94">
    <cfRule type="expression" dxfId="2874" priority="366">
      <formula>$AH94=0</formula>
    </cfRule>
  </conditionalFormatting>
  <conditionalFormatting sqref="AD99:AF99 J99:X99">
    <cfRule type="expression" dxfId="2873" priority="362">
      <formula>J$9&gt;=20/24</formula>
    </cfRule>
    <cfRule type="expression" dxfId="2872" priority="363">
      <formula>AND(J$9&gt;=14/24,J$9&lt;20/24)</formula>
    </cfRule>
    <cfRule type="expression" dxfId="2871" priority="364">
      <formula>AND(J$9&gt;=8/24,J$9&lt;14/24)</formula>
    </cfRule>
    <cfRule type="expression" dxfId="2870" priority="365">
      <formula>J$9&lt;8/24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69" priority="384">
      <formula>C$9&gt;=20/24</formula>
    </cfRule>
    <cfRule type="expression" dxfId="2868" priority="385">
      <formula>AND(C$9&gt;=14/24,C$9&lt;20/24)</formula>
    </cfRule>
    <cfRule type="expression" dxfId="2867" priority="386">
      <formula>AND(C$9&gt;=8/24,C$9&lt;14/24)</formula>
    </cfRule>
    <cfRule type="expression" dxfId="2866" priority="387">
      <formula>C$9&lt;8/24</formula>
    </cfRule>
  </conditionalFormatting>
  <conditionalFormatting sqref="A233">
    <cfRule type="expression" dxfId="2865" priority="388">
      <formula>$AH233=0</formula>
    </cfRule>
  </conditionalFormatting>
  <conditionalFormatting sqref="AG245">
    <cfRule type="expression" dxfId="2864" priority="389">
      <formula>B$9&gt;=20/24</formula>
    </cfRule>
    <cfRule type="expression" dxfId="2863" priority="390">
      <formula>AND(B$9&gt;=14/24,B$9&lt;20/24)</formula>
    </cfRule>
    <cfRule type="expression" dxfId="2862" priority="391">
      <formula>AND(B$9&gt;=8/24,B$9&lt;14/24)</formula>
    </cfRule>
    <cfRule type="expression" dxfId="2861" priority="392">
      <formula>B$9&lt;8/24</formula>
    </cfRule>
  </conditionalFormatting>
  <conditionalFormatting sqref="S8">
    <cfRule type="expression" dxfId="2860" priority="357">
      <formula>U$9&gt;=20/24</formula>
    </cfRule>
    <cfRule type="expression" dxfId="2859" priority="358">
      <formula>AND(U$9&gt;=14/24,U$9&lt;20/24)</formula>
    </cfRule>
    <cfRule type="expression" dxfId="2858" priority="359">
      <formula>AND(U$9&gt;=8/24,U$9&lt;14/24)</formula>
    </cfRule>
    <cfRule type="expression" dxfId="2857" priority="360">
      <formula>U$9&lt;8/24</formula>
    </cfRule>
  </conditionalFormatting>
  <conditionalFormatting sqref="AB8">
    <cfRule type="expression" dxfId="2856" priority="353">
      <formula>AD$9&gt;=20/24</formula>
    </cfRule>
    <cfRule type="expression" dxfId="2855" priority="354">
      <formula>AND(AD$9&gt;=14/24,AD$9&lt;20/24)</formula>
    </cfRule>
    <cfRule type="expression" dxfId="2854" priority="355">
      <formula>AND(AD$9&gt;=8/24,AD$9&lt;14/24)</formula>
    </cfRule>
    <cfRule type="expression" dxfId="2853" priority="356">
      <formula>AD$9&lt;8/24</formula>
    </cfRule>
  </conditionalFormatting>
  <conditionalFormatting sqref="AH245:AX245">
    <cfRule type="expression" dxfId="2852" priority="393">
      <formula>AG$9&gt;=20/24</formula>
    </cfRule>
    <cfRule type="expression" dxfId="2851" priority="394">
      <formula>AND(AG$9&gt;=14/24,AG$9&lt;20/24)</formula>
    </cfRule>
    <cfRule type="expression" dxfId="2850" priority="395">
      <formula>AND(AG$9&gt;=8/24,AG$9&lt;14/24)</formula>
    </cfRule>
    <cfRule type="expression" dxfId="2849" priority="396">
      <formula>AG$9&lt;8/24</formula>
    </cfRule>
  </conditionalFormatting>
  <conditionalFormatting sqref="T245">
    <cfRule type="expression" dxfId="2848" priority="397">
      <formula>AX$9&gt;=20/24</formula>
    </cfRule>
    <cfRule type="expression" dxfId="2847" priority="398">
      <formula>AND(AX$9&gt;=14/24,AX$9&lt;20/24)</formula>
    </cfRule>
    <cfRule type="expression" dxfId="2846" priority="399">
      <formula>AND(AX$9&gt;=8/24,AX$9&lt;14/24)</formula>
    </cfRule>
    <cfRule type="expression" dxfId="2845" priority="400">
      <formula>AX$9&lt;8/24</formula>
    </cfRule>
  </conditionalFormatting>
  <conditionalFormatting sqref="A115:A116">
    <cfRule type="expression" dxfId="2844" priority="352">
      <formula>$AH115=0</formula>
    </cfRule>
  </conditionalFormatting>
  <conditionalFormatting sqref="M54:Q57 R56:R57 J71:AF71 AC54:AF57">
    <cfRule type="expression" dxfId="2843" priority="348">
      <formula>J$9&gt;=20/24</formula>
    </cfRule>
    <cfRule type="expression" dxfId="2842" priority="349">
      <formula>AND(J$9&gt;=14/24,J$9&lt;20/24)</formula>
    </cfRule>
    <cfRule type="expression" dxfId="2841" priority="350">
      <formula>AND(J$9&gt;=8/24,J$9&lt;14/24)</formula>
    </cfRule>
    <cfRule type="expression" dxfId="2840" priority="351">
      <formula>J$9&lt;8/24</formula>
    </cfRule>
  </conditionalFormatting>
  <conditionalFormatting sqref="M53:Q53 AC53:AF53">
    <cfRule type="expression" dxfId="2839" priority="344">
      <formula>M$9&gt;=20/24</formula>
    </cfRule>
    <cfRule type="expression" dxfId="2838" priority="345">
      <formula>AND(M$9&gt;=14/24,M$9&lt;20/24)</formula>
    </cfRule>
    <cfRule type="expression" dxfId="2837" priority="346">
      <formula>AND(M$9&gt;=8/24,M$9&lt;14/24)</formula>
    </cfRule>
    <cfRule type="expression" dxfId="2836" priority="347">
      <formula>M$9&lt;8/24</formula>
    </cfRule>
  </conditionalFormatting>
  <conditionalFormatting sqref="M53:Q57 R56:R57 AC53:AF57">
    <cfRule type="expression" dxfId="2835" priority="343">
      <formula>M53&gt;$AG53</formula>
    </cfRule>
  </conditionalFormatting>
  <conditionalFormatting sqref="X96:AF96 M100:X106 D86:AF86 J72:AF73 X47:AF47 Z67:AF69 AC74:AF74 AD100:AF106">
    <cfRule type="expression" dxfId="2834" priority="339">
      <formula>D$9&gt;=20/24</formula>
    </cfRule>
    <cfRule type="expression" dxfId="2833" priority="340">
      <formula>AND(D$9&gt;=14/24,D$9&lt;20/24)</formula>
    </cfRule>
    <cfRule type="expression" dxfId="2832" priority="341">
      <formula>AND(D$9&gt;=8/24,D$9&lt;14/24)</formula>
    </cfRule>
    <cfRule type="expression" dxfId="2831" priority="342">
      <formula>D$9&lt;8/24</formula>
    </cfRule>
  </conditionalFormatting>
  <conditionalFormatting sqref="X47:AF47 Z67:AF69">
    <cfRule type="expression" dxfId="2830" priority="338">
      <formula>X47&gt;$AG47</formula>
    </cfRule>
  </conditionalFormatting>
  <conditionalFormatting sqref="R53:T53 S56:S59 R54:S55 T54:T59 U53:AB59 AC59:AF59">
    <cfRule type="expression" dxfId="2829" priority="334">
      <formula>R$9&gt;=20/24</formula>
    </cfRule>
    <cfRule type="expression" dxfId="2828" priority="335">
      <formula>AND(R$9&gt;=14/24,R$9&lt;20/24)</formula>
    </cfRule>
    <cfRule type="expression" dxfId="2827" priority="336">
      <formula>AND(R$9&gt;=8/24,R$9&lt;14/24)</formula>
    </cfRule>
    <cfRule type="expression" dxfId="2826" priority="337">
      <formula>R$9&lt;8/24</formula>
    </cfRule>
  </conditionalFormatting>
  <conditionalFormatting sqref="R53:T53 S56:S59 R54:S55 T54:T59 U53:AB59 AC59:AF59">
    <cfRule type="expression" dxfId="2825" priority="333">
      <formula>R53&gt;$AG53</formula>
    </cfRule>
  </conditionalFormatting>
  <conditionalFormatting sqref="C97:AF97 D88:AF88">
    <cfRule type="expression" dxfId="2824" priority="329">
      <formula>C$9&gt;=20/24</formula>
    </cfRule>
    <cfRule type="expression" dxfId="2823" priority="330">
      <formula>AND(C$9&gt;=14/24,C$9&lt;20/24)</formula>
    </cfRule>
    <cfRule type="expression" dxfId="2822" priority="331">
      <formula>AND(C$9&gt;=8/24,C$9&lt;14/24)</formula>
    </cfRule>
    <cfRule type="expression" dxfId="2821" priority="332">
      <formula>C$9&lt;8/24</formula>
    </cfRule>
  </conditionalFormatting>
  <conditionalFormatting sqref="T47:W47">
    <cfRule type="expression" dxfId="2820" priority="325">
      <formula>T$9&gt;=20/24</formula>
    </cfRule>
    <cfRule type="expression" dxfId="2819" priority="326">
      <formula>AND(T$9&gt;=14/24,T$9&lt;20/24)</formula>
    </cfRule>
    <cfRule type="expression" dxfId="2818" priority="327">
      <formula>AND(T$9&gt;=8/24,T$9&lt;14/24)</formula>
    </cfRule>
    <cfRule type="expression" dxfId="2817" priority="328">
      <formula>T$9&lt;8/24</formula>
    </cfRule>
  </conditionalFormatting>
  <conditionalFormatting sqref="T47:W47">
    <cfRule type="expression" dxfId="2816" priority="324">
      <formula>T47&gt;$AG47</formula>
    </cfRule>
  </conditionalFormatting>
  <conditionalFormatting sqref="L54:L55">
    <cfRule type="expression" dxfId="2815" priority="320">
      <formula>L$9&gt;=20/24</formula>
    </cfRule>
    <cfRule type="expression" dxfId="2814" priority="321">
      <formula>AND(L$9&gt;=14/24,L$9&lt;20/24)</formula>
    </cfRule>
    <cfRule type="expression" dxfId="2813" priority="322">
      <formula>AND(L$9&gt;=8/24,L$9&lt;14/24)</formula>
    </cfRule>
    <cfRule type="expression" dxfId="2812" priority="323">
      <formula>L$9&lt;8/24</formula>
    </cfRule>
  </conditionalFormatting>
  <conditionalFormatting sqref="L53">
    <cfRule type="expression" dxfId="2811" priority="316">
      <formula>L$9&gt;=20/24</formula>
    </cfRule>
    <cfRule type="expression" dxfId="2810" priority="317">
      <formula>AND(L$9&gt;=14/24,L$9&lt;20/24)</formula>
    </cfRule>
    <cfRule type="expression" dxfId="2809" priority="318">
      <formula>AND(L$9&gt;=8/24,L$9&lt;14/24)</formula>
    </cfRule>
    <cfRule type="expression" dxfId="2808" priority="319">
      <formula>L$9&lt;8/24</formula>
    </cfRule>
  </conditionalFormatting>
  <conditionalFormatting sqref="L53:L55">
    <cfRule type="expression" dxfId="2807" priority="315">
      <formula>L53&gt;$AG53</formula>
    </cfRule>
  </conditionalFormatting>
  <conditionalFormatting sqref="AG70 AG87 J100:L106">
    <cfRule type="expression" dxfId="2806" priority="311">
      <formula>J$9&gt;=20/24</formula>
    </cfRule>
    <cfRule type="expression" dxfId="2805" priority="312">
      <formula>AND(J$9&gt;=14/24,J$9&lt;20/24)</formula>
    </cfRule>
    <cfRule type="expression" dxfId="2804" priority="313">
      <formula>AND(J$9&gt;=8/24,J$9&lt;14/24)</formula>
    </cfRule>
    <cfRule type="expression" dxfId="2803" priority="314">
      <formula>J$9&lt;8/24</formula>
    </cfRule>
  </conditionalFormatting>
  <conditionalFormatting sqref="AG48 AG66 AG70">
    <cfRule type="expression" dxfId="2802" priority="310">
      <formula>AG48&gt;$AG48</formula>
    </cfRule>
  </conditionalFormatting>
  <conditionalFormatting sqref="AC58:AF58">
    <cfRule type="expression" dxfId="2801" priority="306">
      <formula>AC$9&gt;=20/24</formula>
    </cfRule>
    <cfRule type="expression" dxfId="2800" priority="307">
      <formula>AND(AC$9&gt;=14/24,AC$9&lt;20/24)</formula>
    </cfRule>
    <cfRule type="expression" dxfId="2799" priority="308">
      <formula>AND(AC$9&gt;=8/24,AC$9&lt;14/24)</formula>
    </cfRule>
    <cfRule type="expression" dxfId="2798" priority="309">
      <formula>AC$9&lt;8/24</formula>
    </cfRule>
  </conditionalFormatting>
  <conditionalFormatting sqref="AC58:AF58">
    <cfRule type="expression" dxfId="2797" priority="305">
      <formula>AC58&gt;$AG58</formula>
    </cfRule>
  </conditionalFormatting>
  <conditionalFormatting sqref="A43">
    <cfRule type="expression" dxfId="2796" priority="304">
      <formula>$AH43=0</formula>
    </cfRule>
  </conditionalFormatting>
  <conditionalFormatting sqref="X91:AF95">
    <cfRule type="expression" dxfId="2795" priority="300">
      <formula>X$9&gt;=20/24</formula>
    </cfRule>
    <cfRule type="expression" dxfId="2794" priority="301">
      <formula>AND(X$9&gt;=14/24,X$9&lt;20/24)</formula>
    </cfRule>
    <cfRule type="expression" dxfId="2793" priority="302">
      <formula>AND(X$9&gt;=8/24,X$9&lt;14/24)</formula>
    </cfRule>
    <cfRule type="expression" dxfId="2792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J49:K49 L49:AF51">
    <cfRule type="expression" dxfId="2791" priority="296">
      <formula>J$9&gt;=20/24</formula>
    </cfRule>
    <cfRule type="expression" dxfId="2790" priority="297">
      <formula>AND(J$9&gt;=14/24,J$9&lt;20/24)</formula>
    </cfRule>
    <cfRule type="expression" dxfId="2789" priority="298">
      <formula>AND(J$9&gt;=8/24,J$9&lt;14/24)</formula>
    </cfRule>
    <cfRule type="expression" dxfId="2788" priority="299">
      <formula>J$9&lt;8/24</formula>
    </cfRule>
  </conditionalFormatting>
  <conditionalFormatting sqref="J49:K49 L49:AF51">
    <cfRule type="expression" dxfId="2787" priority="295">
      <formula>J49&gt;$AG49</formula>
    </cfRule>
  </conditionalFormatting>
  <conditionalFormatting sqref="AG52">
    <cfRule type="expression" dxfId="2786" priority="291">
      <formula>AG$9&gt;=20/24</formula>
    </cfRule>
    <cfRule type="expression" dxfId="2785" priority="292">
      <formula>AND(AG$9&gt;=14/24,AG$9&lt;20/24)</formula>
    </cfRule>
    <cfRule type="expression" dxfId="2784" priority="293">
      <formula>AND(AG$9&gt;=8/24,AG$9&lt;14/24)</formula>
    </cfRule>
    <cfRule type="expression" dxfId="2783" priority="294">
      <formula>AG$9&lt;8/24</formula>
    </cfRule>
  </conditionalFormatting>
  <conditionalFormatting sqref="AG52">
    <cfRule type="expression" dxfId="2782" priority="290">
      <formula>AG52&gt;$AG52</formula>
    </cfRule>
  </conditionalFormatting>
  <conditionalFormatting sqref="C107:AF107">
    <cfRule type="expression" dxfId="2781" priority="286">
      <formula>C$9&gt;=20/24</formula>
    </cfRule>
    <cfRule type="expression" dxfId="2780" priority="287">
      <formula>AND(C$9&gt;=14/24,C$9&lt;20/24)</formula>
    </cfRule>
    <cfRule type="expression" dxfId="2779" priority="288">
      <formula>AND(C$9&gt;=8/24,C$9&lt;14/24)</formula>
    </cfRule>
    <cfRule type="expression" dxfId="2778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777" priority="284">
      <formula>$AH40=0</formula>
    </cfRule>
  </conditionalFormatting>
  <conditionalFormatting sqref="A90">
    <cfRule type="expression" dxfId="2776" priority="282">
      <formula>$AH90=0</formula>
    </cfRule>
  </conditionalFormatting>
  <conditionalFormatting sqref="A87">
    <cfRule type="expression" dxfId="2775" priority="283">
      <formula>$AH87=0</formula>
    </cfRule>
  </conditionalFormatting>
  <conditionalFormatting sqref="J110:AF110">
    <cfRule type="expression" dxfId="2774" priority="278">
      <formula>J$9&gt;=20/24</formula>
    </cfRule>
    <cfRule type="expression" dxfId="2773" priority="279">
      <formula>AND(J$9&gt;=14/24,J$9&lt;20/24)</formula>
    </cfRule>
    <cfRule type="expression" dxfId="2772" priority="280">
      <formula>AND(J$9&gt;=8/24,J$9&lt;14/24)</formula>
    </cfRule>
    <cfRule type="expression" dxfId="2771" priority="281">
      <formula>J$9&lt;8/24</formula>
    </cfRule>
  </conditionalFormatting>
  <conditionalFormatting sqref="A110">
    <cfRule type="expression" dxfId="2770" priority="277">
      <formula>$AH110=0</formula>
    </cfRule>
  </conditionalFormatting>
  <conditionalFormatting sqref="A21">
    <cfRule type="expression" dxfId="2769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768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767" priority="269">
      <formula>Y$9&gt;=20/24</formula>
    </cfRule>
    <cfRule type="expression" dxfId="2766" priority="270">
      <formula>AND(Y$9&gt;=14/24,Y$9&lt;20/24)</formula>
    </cfRule>
    <cfRule type="expression" dxfId="2765" priority="271">
      <formula>AND(Y$9&gt;=8/24,Y$9&lt;14/24)</formula>
    </cfRule>
    <cfRule type="expression" dxfId="2764" priority="272">
      <formula>Y$9&lt;8/24</formula>
    </cfRule>
  </conditionalFormatting>
  <conditionalFormatting sqref="Y100:AC106">
    <cfRule type="expression" dxfId="2763" priority="265">
      <formula>Y$9&gt;=20/24</formula>
    </cfRule>
    <cfRule type="expression" dxfId="2762" priority="266">
      <formula>AND(Y$9&gt;=14/24,Y$9&lt;20/24)</formula>
    </cfRule>
    <cfRule type="expression" dxfId="2761" priority="267">
      <formula>AND(Y$9&gt;=8/24,Y$9&lt;14/24)</formula>
    </cfRule>
    <cfRule type="expression" dxfId="2760" priority="268">
      <formula>Y$9&lt;8/24</formula>
    </cfRule>
  </conditionalFormatting>
  <conditionalFormatting sqref="C47:S47">
    <cfRule type="expression" dxfId="2759" priority="257">
      <formula>C$9&gt;=20/24</formula>
    </cfRule>
    <cfRule type="expression" dxfId="2758" priority="258">
      <formula>AND(C$9&gt;=14/24,C$9&lt;20/24)</formula>
    </cfRule>
    <cfRule type="expression" dxfId="2757" priority="259">
      <formula>AND(C$9&gt;=8/24,C$9&lt;14/24)</formula>
    </cfRule>
    <cfRule type="expression" dxfId="2756" priority="260">
      <formula>C$9&lt;8/24</formula>
    </cfRule>
  </conditionalFormatting>
  <conditionalFormatting sqref="C47:S47">
    <cfRule type="expression" dxfId="2755" priority="256">
      <formula>C47&gt;$AG47</formula>
    </cfRule>
  </conditionalFormatting>
  <conditionalFormatting sqref="C86 C96:W96 S76:T76 M74:T75 N67:Y69 C83:AF85 U74:AB76 AC75:AF76">
    <cfRule type="expression" dxfId="2754" priority="239">
      <formula>C$9&gt;=20/24</formula>
    </cfRule>
    <cfRule type="expression" dxfId="2753" priority="240">
      <formula>AND(C$9&gt;=14/24,C$9&lt;20/24)</formula>
    </cfRule>
    <cfRule type="expression" dxfId="2752" priority="241">
      <formula>AND(C$9&gt;=8/24,C$9&lt;14/24)</formula>
    </cfRule>
    <cfRule type="expression" dxfId="2751" priority="242">
      <formula>C$9&lt;8/24</formula>
    </cfRule>
  </conditionalFormatting>
  <conditionalFormatting sqref="L56:L57 N67:Y69">
    <cfRule type="expression" dxfId="2750" priority="238">
      <formula>L56&gt;$AG56</formula>
    </cfRule>
  </conditionalFormatting>
  <conditionalFormatting sqref="L58:R58">
    <cfRule type="expression" dxfId="2749" priority="234">
      <formula>L$9&gt;=20/24</formula>
    </cfRule>
    <cfRule type="expression" dxfId="2748" priority="235">
      <formula>AND(L$9&gt;=14/24,L$9&lt;20/24)</formula>
    </cfRule>
    <cfRule type="expression" dxfId="2747" priority="236">
      <formula>AND(L$9&gt;=8/24,L$9&lt;14/24)</formula>
    </cfRule>
    <cfRule type="expression" dxfId="2746" priority="237">
      <formula>L$9&lt;8/24</formula>
    </cfRule>
  </conditionalFormatting>
  <conditionalFormatting sqref="L58:R58">
    <cfRule type="expression" dxfId="2745" priority="233">
      <formula>L58&gt;$AG58</formula>
    </cfRule>
  </conditionalFormatting>
  <conditionalFormatting sqref="B71:I71 B54:K57">
    <cfRule type="expression" dxfId="2744" priority="152">
      <formula>B$9&gt;=20/24</formula>
    </cfRule>
    <cfRule type="expression" dxfId="2743" priority="153">
      <formula>AND(B$9&gt;=14/24,B$9&lt;20/24)</formula>
    </cfRule>
    <cfRule type="expression" dxfId="2742" priority="154">
      <formula>AND(B$9&gt;=8/24,B$9&lt;14/24)</formula>
    </cfRule>
    <cfRule type="expression" dxfId="2741" priority="155">
      <formula>B$9&lt;8/24</formula>
    </cfRule>
  </conditionalFormatting>
  <conditionalFormatting sqref="C87:AF87 C89:AF89 C98:AF98 C70:AF70">
    <cfRule type="expression" dxfId="2740" priority="224">
      <formula>C$9&gt;=20/24</formula>
    </cfRule>
    <cfRule type="expression" dxfId="2739" priority="225">
      <formula>AND(C$9&gt;=14/24,C$9&lt;20/24)</formula>
    </cfRule>
    <cfRule type="expression" dxfId="2738" priority="226">
      <formula>AND(C$9&gt;=8/24,C$9&lt;14/24)</formula>
    </cfRule>
    <cfRule type="expression" dxfId="2737" priority="227">
      <formula>C$9&lt;8/24</formula>
    </cfRule>
  </conditionalFormatting>
  <conditionalFormatting sqref="C48:AF48 C65:AF66 C70:AF70">
    <cfRule type="expression" dxfId="2736" priority="223">
      <formula>C48&gt;$AG48</formula>
    </cfRule>
  </conditionalFormatting>
  <conditionalFormatting sqref="C82:AF82">
    <cfRule type="expression" dxfId="2735" priority="219">
      <formula>C$9&gt;=20/24</formula>
    </cfRule>
    <cfRule type="expression" dxfId="2734" priority="220">
      <formula>AND(C$9&gt;=14/24,C$9&lt;20/24)</formula>
    </cfRule>
    <cfRule type="expression" dxfId="2733" priority="221">
      <formula>AND(C$9&gt;=8/24,C$9&lt;14/24)</formula>
    </cfRule>
    <cfRule type="expression" dxfId="2732" priority="222">
      <formula>C$9&lt;8/24</formula>
    </cfRule>
  </conditionalFormatting>
  <conditionalFormatting sqref="C91:W95">
    <cfRule type="expression" dxfId="2731" priority="215">
      <formula>C$9&gt;=20/24</formula>
    </cfRule>
    <cfRule type="expression" dxfId="2730" priority="216">
      <formula>AND(C$9&gt;=14/24,C$9&lt;20/24)</formula>
    </cfRule>
    <cfRule type="expression" dxfId="2729" priority="217">
      <formula>AND(C$9&gt;=8/24,C$9&lt;14/24)</formula>
    </cfRule>
    <cfRule type="expression" dxfId="2728" priority="218">
      <formula>C$9&lt;8/24</formula>
    </cfRule>
  </conditionalFormatting>
  <conditionalFormatting sqref="C52:AF52">
    <cfRule type="expression" dxfId="2727" priority="206">
      <formula>C$9&gt;=20/24</formula>
    </cfRule>
    <cfRule type="expression" dxfId="2726" priority="207">
      <formula>AND(C$9&gt;=14/24,C$9&lt;20/24)</formula>
    </cfRule>
    <cfRule type="expression" dxfId="2725" priority="208">
      <formula>AND(C$9&gt;=8/24,C$9&lt;14/24)</formula>
    </cfRule>
    <cfRule type="expression" dxfId="2724" priority="209">
      <formula>C$9&lt;8/24</formula>
    </cfRule>
  </conditionalFormatting>
  <conditionalFormatting sqref="C52:AF52">
    <cfRule type="expression" dxfId="2723" priority="205">
      <formula>C52&gt;$AG52</formula>
    </cfRule>
  </conditionalFormatting>
  <conditionalFormatting sqref="B49:I51 J50:K51">
    <cfRule type="expression" dxfId="2722" priority="120">
      <formula>B$9&gt;=20/24</formula>
    </cfRule>
    <cfRule type="expression" dxfId="2721" priority="121">
      <formula>AND(B$9&gt;=14/24,B$9&lt;20/24)</formula>
    </cfRule>
    <cfRule type="expression" dxfId="2720" priority="122">
      <formula>AND(B$9&gt;=8/24,B$9&lt;14/24)</formula>
    </cfRule>
    <cfRule type="expression" dxfId="2719" priority="123">
      <formula>B$9&lt;8/24</formula>
    </cfRule>
  </conditionalFormatting>
  <conditionalFormatting sqref="L59:R59">
    <cfRule type="expression" dxfId="2718" priority="193">
      <formula>L$9&gt;=20/24</formula>
    </cfRule>
    <cfRule type="expression" dxfId="2717" priority="194">
      <formula>AND(L$9&gt;=14/24,L$9&lt;20/24)</formula>
    </cfRule>
    <cfRule type="expression" dxfId="2716" priority="195">
      <formula>AND(L$9&gt;=8/24,L$9&lt;14/24)</formula>
    </cfRule>
    <cfRule type="expression" dxfId="2715" priority="196">
      <formula>L$9&lt;8/24</formula>
    </cfRule>
  </conditionalFormatting>
  <conditionalFormatting sqref="L59:R59">
    <cfRule type="expression" dxfId="2714" priority="192">
      <formula>L59&gt;$AG59</formula>
    </cfRule>
  </conditionalFormatting>
  <conditionalFormatting sqref="S13:AF13">
    <cfRule type="expression" dxfId="2713" priority="191">
      <formula>S13&gt;$AG13</formula>
    </cfRule>
  </conditionalFormatting>
  <conditionalFormatting sqref="S12:AF12">
    <cfRule type="expression" dxfId="2712" priority="187">
      <formula>S$9&gt;=20/24</formula>
    </cfRule>
    <cfRule type="expression" dxfId="2711" priority="188">
      <formula>AND(S$9&gt;=14/24,S$9&lt;20/24)</formula>
    </cfRule>
    <cfRule type="expression" dxfId="2710" priority="189">
      <formula>AND(S$9&gt;=8/24,S$9&lt;14/24)</formula>
    </cfRule>
    <cfRule type="expression" dxfId="2709" priority="190">
      <formula>S$9&lt;8/24</formula>
    </cfRule>
  </conditionalFormatting>
  <conditionalFormatting sqref="S12:AF12">
    <cfRule type="expression" dxfId="2708" priority="186">
      <formula>S12&gt;$AG12</formula>
    </cfRule>
  </conditionalFormatting>
  <conditionalFormatting sqref="S13:AF13">
    <cfRule type="expression" dxfId="2707" priority="182">
      <formula>S$9&gt;=20/24</formula>
    </cfRule>
    <cfRule type="expression" dxfId="2706" priority="183">
      <formula>AND(S$9&gt;=14/24,S$9&lt;20/24)</formula>
    </cfRule>
    <cfRule type="expression" dxfId="2705" priority="184">
      <formula>AND(S$9&gt;=8/24,S$9&lt;14/24)</formula>
    </cfRule>
    <cfRule type="expression" dxfId="2704" priority="185">
      <formula>S$9&lt;8/24</formula>
    </cfRule>
  </conditionalFormatting>
  <conditionalFormatting sqref="S77:AF81">
    <cfRule type="expression" dxfId="2703" priority="174">
      <formula>S$9&gt;=20/24</formula>
    </cfRule>
    <cfRule type="expression" dxfId="2702" priority="175">
      <formula>AND(S$9&gt;=14/24,S$9&lt;20/24)</formula>
    </cfRule>
    <cfRule type="expression" dxfId="2701" priority="176">
      <formula>AND(S$9&gt;=8/24,S$9&lt;14/24)</formula>
    </cfRule>
    <cfRule type="expression" dxfId="2700" priority="177">
      <formula>S$9&lt;8/24</formula>
    </cfRule>
  </conditionalFormatting>
  <conditionalFormatting sqref="AL78:AN78 AL84:AN84 AN79:AN80">
    <cfRule type="expression" dxfId="2699" priority="170">
      <formula>AL$9&gt;=20/24</formula>
    </cfRule>
    <cfRule type="expression" dxfId="2698" priority="171">
      <formula>AND(AL$9&gt;=14/24,AL$9&lt;20/24)</formula>
    </cfRule>
    <cfRule type="expression" dxfId="2697" priority="172">
      <formula>AND(AL$9&gt;=8/24,AL$9&lt;14/24)</formula>
    </cfRule>
    <cfRule type="expression" dxfId="2696" priority="173">
      <formula>AL$9&lt;8/24</formula>
    </cfRule>
  </conditionalFormatting>
  <conditionalFormatting sqref="AN81:AN82">
    <cfRule type="expression" dxfId="2695" priority="166">
      <formula>AN$9&gt;=20/24</formula>
    </cfRule>
    <cfRule type="expression" dxfId="2694" priority="167">
      <formula>AND(AN$9&gt;=14/24,AN$9&lt;20/24)</formula>
    </cfRule>
    <cfRule type="expression" dxfId="2693" priority="168">
      <formula>AND(AN$9&gt;=8/24,AN$9&lt;14/24)</formula>
    </cfRule>
    <cfRule type="expression" dxfId="2692" priority="169">
      <formula>AN$9&lt;8/24</formula>
    </cfRule>
  </conditionalFormatting>
  <conditionalFormatting sqref="AL79:AM83">
    <cfRule type="expression" dxfId="2691" priority="402">
      <formula>AJ$9&gt;=20/24</formula>
    </cfRule>
    <cfRule type="expression" dxfId="2690" priority="403">
      <formula>AND(AJ$9&gt;=14/24,AJ$9&lt;20/24)</formula>
    </cfRule>
    <cfRule type="expression" dxfId="2689" priority="404">
      <formula>AND(AJ$9&gt;=8/24,AJ$9&lt;14/24)</formula>
    </cfRule>
    <cfRule type="expression" dxfId="2688" priority="405">
      <formula>AJ$9&lt;8/24</formula>
    </cfRule>
  </conditionalFormatting>
  <conditionalFormatting sqref="A117">
    <cfRule type="expression" dxfId="2687" priority="165">
      <formula>$AH117=0</formula>
    </cfRule>
  </conditionalFormatting>
  <conditionalFormatting sqref="B109:I109 B111:I116 B12:R15 B17:AF32 B34:AF43 B45:AF45 S14:AF15">
    <cfRule type="expression" dxfId="2686" priority="161">
      <formula>B$9&gt;=20/24</formula>
    </cfRule>
    <cfRule type="expression" dxfId="2685" priority="162">
      <formula>AND(B$9&gt;=14/24,B$9&lt;20/24)</formula>
    </cfRule>
    <cfRule type="expression" dxfId="2684" priority="163">
      <formula>AND(B$9&gt;=8/24,B$9&lt;14/24)</formula>
    </cfRule>
    <cfRule type="expression" dxfId="2683" priority="164">
      <formula>B$9&lt;8/24</formula>
    </cfRule>
  </conditionalFormatting>
  <conditionalFormatting sqref="B12:R15 B17:AF32 B34:AF43 B45:AF45 S14:AF15">
    <cfRule type="expression" dxfId="2682" priority="160">
      <formula>B12&gt;$AG12</formula>
    </cfRule>
  </conditionalFormatting>
  <conditionalFormatting sqref="B99:I99">
    <cfRule type="expression" dxfId="2681" priority="156">
      <formula>B$9&gt;=20/24</formula>
    </cfRule>
    <cfRule type="expression" dxfId="2680" priority="157">
      <formula>AND(B$9&gt;=14/24,B$9&lt;20/24)</formula>
    </cfRule>
    <cfRule type="expression" dxfId="2679" priority="158">
      <formula>AND(B$9&gt;=8/24,B$9&lt;14/24)</formula>
    </cfRule>
    <cfRule type="expression" dxfId="2678" priority="159">
      <formula>B$9&lt;8/24</formula>
    </cfRule>
  </conditionalFormatting>
  <conditionalFormatting sqref="B53:K53">
    <cfRule type="expression" dxfId="2677" priority="148">
      <formula>B$9&gt;=20/24</formula>
    </cfRule>
    <cfRule type="expression" dxfId="2676" priority="149">
      <formula>AND(B$9&gt;=14/24,B$9&lt;20/24)</formula>
    </cfRule>
    <cfRule type="expression" dxfId="2675" priority="150">
      <formula>AND(B$9&gt;=8/24,B$9&lt;14/24)</formula>
    </cfRule>
    <cfRule type="expression" dxfId="2674" priority="151">
      <formula>B$9&lt;8/24</formula>
    </cfRule>
  </conditionalFormatting>
  <conditionalFormatting sqref="B53:K57">
    <cfRule type="expression" dxfId="2673" priority="147">
      <formula>B53&gt;$AG53</formula>
    </cfRule>
  </conditionalFormatting>
  <conditionalFormatting sqref="B96 B86 B47 B72:I74 B100:I106 J74:L74 B67:M69">
    <cfRule type="expression" dxfId="2672" priority="143">
      <formula>B$9&gt;=20/24</formula>
    </cfRule>
    <cfRule type="expression" dxfId="2671" priority="144">
      <formula>AND(B$9&gt;=14/24,B$9&lt;20/24)</formula>
    </cfRule>
    <cfRule type="expression" dxfId="2670" priority="145">
      <formula>AND(B$9&gt;=8/24,B$9&lt;14/24)</formula>
    </cfRule>
    <cfRule type="expression" dxfId="2669" priority="146">
      <formula>B$9&lt;8/24</formula>
    </cfRule>
  </conditionalFormatting>
  <conditionalFormatting sqref="B47 B67:M69">
    <cfRule type="expression" dxfId="2668" priority="142">
      <formula>B47&gt;$AG47</formula>
    </cfRule>
  </conditionalFormatting>
  <conditionalFormatting sqref="B97 B88:C88">
    <cfRule type="expression" dxfId="2667" priority="138">
      <formula>B$9&gt;=20/24</formula>
    </cfRule>
    <cfRule type="expression" dxfId="2666" priority="139">
      <formula>AND(B$9&gt;=14/24,B$9&lt;20/24)</formula>
    </cfRule>
    <cfRule type="expression" dxfId="2665" priority="140">
      <formula>AND(B$9&gt;=8/24,B$9&lt;14/24)</formula>
    </cfRule>
    <cfRule type="expression" dxfId="2664" priority="141">
      <formula>B$9&lt;8/24</formula>
    </cfRule>
  </conditionalFormatting>
  <conditionalFormatting sqref="B46:AF46">
    <cfRule type="expression" dxfId="2663" priority="134">
      <formula>B$9&gt;=20/24</formula>
    </cfRule>
    <cfRule type="expression" dxfId="2662" priority="135">
      <formula>AND(B$9&gt;=14/24,B$9&lt;20/24)</formula>
    </cfRule>
    <cfRule type="expression" dxfId="2661" priority="136">
      <formula>AND(B$9&gt;=8/24,B$9&lt;14/24)</formula>
    </cfRule>
    <cfRule type="expression" dxfId="2660" priority="137">
      <formula>B$9&lt;8/24</formula>
    </cfRule>
  </conditionalFormatting>
  <conditionalFormatting sqref="B46:AF46">
    <cfRule type="expression" dxfId="2659" priority="133">
      <formula>B46&gt;$AG46</formula>
    </cfRule>
  </conditionalFormatting>
  <conditionalFormatting sqref="B58:K58">
    <cfRule type="expression" dxfId="2658" priority="129">
      <formula>B$9&gt;=20/24</formula>
    </cfRule>
    <cfRule type="expression" dxfId="2657" priority="130">
      <formula>AND(B$9&gt;=14/24,B$9&lt;20/24)</formula>
    </cfRule>
    <cfRule type="expression" dxfId="2656" priority="131">
      <formula>AND(B$9&gt;=8/24,B$9&lt;14/24)</formula>
    </cfRule>
    <cfRule type="expression" dxfId="2655" priority="132">
      <formula>B$9&lt;8/24</formula>
    </cfRule>
  </conditionalFormatting>
  <conditionalFormatting sqref="B58:K58">
    <cfRule type="expression" dxfId="2654" priority="128">
      <formula>B58&gt;$AG58</formula>
    </cfRule>
  </conditionalFormatting>
  <conditionalFormatting sqref="B91:B95">
    <cfRule type="expression" dxfId="2653" priority="124">
      <formula>B$9&gt;=20/24</formula>
    </cfRule>
    <cfRule type="expression" dxfId="2652" priority="125">
      <formula>AND(B$9&gt;=14/24,B$9&lt;20/24)</formula>
    </cfRule>
    <cfRule type="expression" dxfId="2651" priority="126">
      <formula>AND(B$9&gt;=8/24,B$9&lt;14/24)</formula>
    </cfRule>
    <cfRule type="expression" dxfId="2650" priority="127">
      <formula>B$9&lt;8/24</formula>
    </cfRule>
  </conditionalFormatting>
  <conditionalFormatting sqref="B49:I51 J50:K51">
    <cfRule type="expression" dxfId="2649" priority="119">
      <formula>B49&gt;$AG49</formula>
    </cfRule>
  </conditionalFormatting>
  <conditionalFormatting sqref="B107">
    <cfRule type="expression" dxfId="2648" priority="115">
      <formula>B$9&gt;=20/24</formula>
    </cfRule>
    <cfRule type="expression" dxfId="2647" priority="116">
      <formula>AND(B$9&gt;=14/24,B$9&lt;20/24)</formula>
    </cfRule>
    <cfRule type="expression" dxfId="2646" priority="117">
      <formula>AND(B$9&gt;=8/24,B$9&lt;14/24)</formula>
    </cfRule>
    <cfRule type="expression" dxfId="2645" priority="118">
      <formula>B$9&lt;8/24</formula>
    </cfRule>
  </conditionalFormatting>
  <conditionalFormatting sqref="B110:I110">
    <cfRule type="expression" dxfId="2644" priority="111">
      <formula>B$9&gt;=20/24</formula>
    </cfRule>
    <cfRule type="expression" dxfId="2643" priority="112">
      <formula>AND(B$9&gt;=14/24,B$9&lt;20/24)</formula>
    </cfRule>
    <cfRule type="expression" dxfId="2642" priority="113">
      <formula>AND(B$9&gt;=8/24,B$9&lt;14/24)</formula>
    </cfRule>
    <cfRule type="expression" dxfId="2641" priority="114">
      <formula>B$9&lt;8/24</formula>
    </cfRule>
  </conditionalFormatting>
  <conditionalFormatting sqref="B83:B85 B75:L76 M76:R76">
    <cfRule type="expression" dxfId="2640" priority="107">
      <formula>B$9&gt;=20/24</formula>
    </cfRule>
    <cfRule type="expression" dxfId="2639" priority="108">
      <formula>AND(B$9&gt;=14/24,B$9&lt;20/24)</formula>
    </cfRule>
    <cfRule type="expression" dxfId="2638" priority="109">
      <formula>AND(B$9&gt;=8/24,B$9&lt;14/24)</formula>
    </cfRule>
    <cfRule type="expression" dxfId="2637" priority="110">
      <formula>B$9&lt;8/24</formula>
    </cfRule>
  </conditionalFormatting>
  <conditionalFormatting sqref="B89 B98 B70 B87">
    <cfRule type="expression" dxfId="2636" priority="103">
      <formula>B$9&gt;=20/24</formula>
    </cfRule>
    <cfRule type="expression" dxfId="2635" priority="104">
      <formula>AND(B$9&gt;=14/24,B$9&lt;20/24)</formula>
    </cfRule>
    <cfRule type="expression" dxfId="2634" priority="105">
      <formula>AND(B$9&gt;=8/24,B$9&lt;14/24)</formula>
    </cfRule>
    <cfRule type="expression" dxfId="2633" priority="106">
      <formula>B$9&lt;8/24</formula>
    </cfRule>
  </conditionalFormatting>
  <conditionalFormatting sqref="B48 B65:B66 B70">
    <cfRule type="expression" dxfId="2632" priority="102">
      <formula>B48&gt;$AG48</formula>
    </cfRule>
  </conditionalFormatting>
  <conditionalFormatting sqref="B82">
    <cfRule type="expression" dxfId="2631" priority="98">
      <formula>B$9&gt;=20/24</formula>
    </cfRule>
    <cfRule type="expression" dxfId="2630" priority="99">
      <formula>AND(B$9&gt;=14/24,B$9&lt;20/24)</formula>
    </cfRule>
    <cfRule type="expression" dxfId="2629" priority="100">
      <formula>AND(B$9&gt;=8/24,B$9&lt;14/24)</formula>
    </cfRule>
    <cfRule type="expression" dxfId="2628" priority="101">
      <formula>B$9&lt;8/24</formula>
    </cfRule>
  </conditionalFormatting>
  <conditionalFormatting sqref="B52">
    <cfRule type="expression" dxfId="2627" priority="94">
      <formula>B$9&gt;=20/24</formula>
    </cfRule>
    <cfRule type="expression" dxfId="2626" priority="95">
      <formula>AND(B$9&gt;=14/24,B$9&lt;20/24)</formula>
    </cfRule>
    <cfRule type="expression" dxfId="2625" priority="96">
      <formula>AND(B$9&gt;=8/24,B$9&lt;14/24)</formula>
    </cfRule>
    <cfRule type="expression" dxfId="2624" priority="97">
      <formula>B$9&lt;8/24</formula>
    </cfRule>
  </conditionalFormatting>
  <conditionalFormatting sqref="B52">
    <cfRule type="expression" dxfId="2623" priority="93">
      <formula>B52&gt;$AG52</formula>
    </cfRule>
  </conditionalFormatting>
  <conditionalFormatting sqref="B59:K64 L60:AF64">
    <cfRule type="expression" dxfId="2622" priority="85">
      <formula>B$9&gt;=20/24</formula>
    </cfRule>
    <cfRule type="expression" dxfId="2621" priority="86">
      <formula>AND(B$9&gt;=14/24,B$9&lt;20/24)</formula>
    </cfRule>
    <cfRule type="expression" dxfId="2620" priority="87">
      <formula>AND(B$9&gt;=8/24,B$9&lt;14/24)</formula>
    </cfRule>
    <cfRule type="expression" dxfId="2619" priority="88">
      <formula>B$9&lt;8/24</formula>
    </cfRule>
  </conditionalFormatting>
  <conditionalFormatting sqref="B59:K64 L60:AF64">
    <cfRule type="expression" dxfId="2618" priority="84">
      <formula>B59&gt;$AG59</formula>
    </cfRule>
  </conditionalFormatting>
  <conditionalFormatting sqref="B77:R81">
    <cfRule type="expression" dxfId="2617" priority="80">
      <formula>B$9&gt;=20/24</formula>
    </cfRule>
    <cfRule type="expression" dxfId="2616" priority="81">
      <formula>AND(B$9&gt;=14/24,B$9&lt;20/24)</formula>
    </cfRule>
    <cfRule type="expression" dxfId="2615" priority="82">
      <formula>AND(B$9&gt;=8/24,B$9&lt;14/24)</formula>
    </cfRule>
    <cfRule type="expression" dxfId="2614" priority="83">
      <formula>B$9&lt;8/24</formula>
    </cfRule>
  </conditionalFormatting>
  <conditionalFormatting sqref="A11">
    <cfRule type="expression" dxfId="2613" priority="74">
      <formula>$AH11=0</formula>
    </cfRule>
  </conditionalFormatting>
  <conditionalFormatting sqref="S11:AF11">
    <cfRule type="expression" dxfId="2612" priority="70">
      <formula>S$9&gt;=20/24</formula>
    </cfRule>
    <cfRule type="expression" dxfId="2611" priority="71">
      <formula>AND(S$9&gt;=14/24,S$9&lt;20/24)</formula>
    </cfRule>
    <cfRule type="expression" dxfId="2610" priority="72">
      <formula>AND(S$9&gt;=8/24,S$9&lt;14/24)</formula>
    </cfRule>
    <cfRule type="expression" dxfId="2609" priority="73">
      <formula>S$9&lt;8/24</formula>
    </cfRule>
  </conditionalFormatting>
  <conditionalFormatting sqref="S11:AF11">
    <cfRule type="expression" dxfId="2608" priority="69">
      <formula>S11&gt;$AG11</formula>
    </cfRule>
  </conditionalFormatting>
  <conditionalFormatting sqref="B11:R11">
    <cfRule type="expression" dxfId="2607" priority="65">
      <formula>B$9&gt;=20/24</formula>
    </cfRule>
    <cfRule type="expression" dxfId="2606" priority="66">
      <formula>AND(B$9&gt;=14/24,B$9&lt;20/24)</formula>
    </cfRule>
    <cfRule type="expression" dxfId="2605" priority="67">
      <formula>AND(B$9&gt;=8/24,B$9&lt;14/24)</formula>
    </cfRule>
    <cfRule type="expression" dxfId="2604" priority="68">
      <formula>B$9&lt;8/24</formula>
    </cfRule>
  </conditionalFormatting>
  <conditionalFormatting sqref="B11:R11">
    <cfRule type="expression" dxfId="2603" priority="64">
      <formula>B11&gt;$AG11</formula>
    </cfRule>
  </conditionalFormatting>
  <conditionalFormatting sqref="A16">
    <cfRule type="expression" dxfId="2602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2601" priority="48">
      <formula>B$9&gt;=20/24</formula>
    </cfRule>
    <cfRule type="expression" dxfId="2600" priority="49">
      <formula>AND(B$9&gt;=14/24,B$9&lt;20/24)</formula>
    </cfRule>
    <cfRule type="expression" dxfId="2599" priority="50">
      <formula>AND(B$9&gt;=8/24,B$9&lt;14/24)</formula>
    </cfRule>
    <cfRule type="expression" dxfId="2598" priority="51">
      <formula>B$9&lt;8/24</formula>
    </cfRule>
  </conditionalFormatting>
  <conditionalFormatting sqref="B16:AF16">
    <cfRule type="expression" dxfId="2597" priority="47">
      <formula>B16&gt;$AG16</formula>
    </cfRule>
  </conditionalFormatting>
  <conditionalFormatting sqref="A33">
    <cfRule type="expression" dxfId="2596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2595" priority="31">
      <formula>B$9&gt;=20/24</formula>
    </cfRule>
    <cfRule type="expression" dxfId="2594" priority="32">
      <formula>AND(B$9&gt;=14/24,B$9&lt;20/24)</formula>
    </cfRule>
    <cfRule type="expression" dxfId="2593" priority="33">
      <formula>AND(B$9&gt;=8/24,B$9&lt;14/24)</formula>
    </cfRule>
    <cfRule type="expression" dxfId="2592" priority="34">
      <formula>B$9&lt;8/24</formula>
    </cfRule>
  </conditionalFormatting>
  <conditionalFormatting sqref="B33:AF33">
    <cfRule type="expression" dxfId="2591" priority="30">
      <formula>B33&gt;$AG33</formula>
    </cfRule>
  </conditionalFormatting>
  <conditionalFormatting sqref="A44">
    <cfRule type="expression" dxfId="2590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2589" priority="14">
      <formula>B$9&gt;=20/24</formula>
    </cfRule>
    <cfRule type="expression" dxfId="2588" priority="15">
      <formula>AND(B$9&gt;=14/24,B$9&lt;20/24)</formula>
    </cfRule>
    <cfRule type="expression" dxfId="2587" priority="16">
      <formula>AND(B$9&gt;=8/24,B$9&lt;14/24)</formula>
    </cfRule>
    <cfRule type="expression" dxfId="2586" priority="17">
      <formula>B$9&lt;8/24</formula>
    </cfRule>
  </conditionalFormatting>
  <conditionalFormatting sqref="B44:AF44">
    <cfRule type="expression" dxfId="2585" priority="13">
      <formula>B44&gt;$AG44</formula>
    </cfRule>
  </conditionalFormatting>
  <conditionalFormatting sqref="B117:I117">
    <cfRule type="expression" dxfId="2584" priority="1">
      <formula>B$9&gt;=20/24</formula>
    </cfRule>
    <cfRule type="expression" dxfId="2583" priority="2">
      <formula>AND(B$9&gt;=14/24,B$9&lt;20/24)</formula>
    </cfRule>
    <cfRule type="expression" dxfId="2582" priority="3">
      <formula>AND(B$9&gt;=8/24,B$9&lt;14/24)</formula>
    </cfRule>
    <cfRule type="expression" dxfId="2581" priority="4">
      <formula>B$9&lt;8/24</formula>
    </cfRule>
  </conditionalFormatting>
  <conditionalFormatting sqref="J117:AF117">
    <cfRule type="expression" dxfId="2580" priority="9">
      <formula>J$9&gt;=20/24</formula>
    </cfRule>
    <cfRule type="expression" dxfId="2579" priority="10">
      <formula>AND(J$9&gt;=14/24,J$9&lt;20/24)</formula>
    </cfRule>
    <cfRule type="expression" dxfId="2578" priority="11">
      <formula>AND(J$9&gt;=8/24,J$9&lt;14/24)</formula>
    </cfRule>
    <cfRule type="expression" dxfId="2577" priority="12">
      <formula>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8AE3EFA6-7163-45AE-B08C-BE058E64DFB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52A60896-1BAF-4093-97D3-277D77CE1B2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22FBCCE1-6750-4E41-927C-46E74C3A273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5CDF4DF9-2CC9-4F50-AE40-88E1952345D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9C94A0D5-4C9D-4662-8484-5B703177C2E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94DE1C66-9A8D-473F-8E11-BF11A2AC8CD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BC59EF0C-6332-4B75-980D-D33C71D957F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D531F4EA-7B13-4C71-9256-8B690776218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8"/>
  <sheetViews>
    <sheetView workbookViewId="0">
      <pane ySplit="10" topLeftCell="A67" activePane="bottomLeft" state="frozen"/>
      <selection activeCell="Z85" sqref="Z85"/>
      <selection pane="bottomLeft" activeCell="P88" sqref="P8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2079/11/28</v>
      </c>
      <c r="C4" s="208"/>
      <c r="D4" s="208"/>
      <c r="E4" s="209" t="str">
        <f ca="1">"2079/"&amp;"11/"&amp;INT(MID(CELL("filename",G6),FIND("]",CELL("filename",G6))+1,200))</f>
        <v>2079/11/28</v>
      </c>
      <c r="F4" s="209"/>
      <c r="G4" s="209"/>
      <c r="H4" s="209" t="str">
        <f ca="1">TEXT(E4,"dddd")</f>
        <v>Tuesday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509</v>
      </c>
      <c r="C5" s="30">
        <f t="shared" si="0"/>
        <v>522.4</v>
      </c>
      <c r="D5" s="30">
        <f t="shared" si="0"/>
        <v>531.1</v>
      </c>
      <c r="E5" s="30">
        <f t="shared" si="0"/>
        <v>538</v>
      </c>
      <c r="F5" s="30">
        <f t="shared" si="0"/>
        <v>563.1</v>
      </c>
      <c r="G5" s="30">
        <f t="shared" si="0"/>
        <v>552</v>
      </c>
      <c r="H5" s="30">
        <f t="shared" si="0"/>
        <v>542.6</v>
      </c>
      <c r="I5" s="30">
        <f t="shared" si="0"/>
        <v>533.6</v>
      </c>
      <c r="J5" s="30">
        <f t="shared" si="0"/>
        <v>557.29999999999995</v>
      </c>
      <c r="K5" s="30">
        <f t="shared" si="0"/>
        <v>495</v>
      </c>
      <c r="L5" s="30">
        <f t="shared" si="0"/>
        <v>530.20000000000005</v>
      </c>
      <c r="M5" s="30">
        <f t="shared" si="0"/>
        <v>464.4</v>
      </c>
      <c r="N5" s="30">
        <f t="shared" si="0"/>
        <v>555</v>
      </c>
      <c r="O5" s="30">
        <f t="shared" si="0"/>
        <v>551.90000000000009</v>
      </c>
      <c r="P5" s="30">
        <f t="shared" si="0"/>
        <v>570.5</v>
      </c>
      <c r="Q5" s="30">
        <f t="shared" si="0"/>
        <v>547.29999999999995</v>
      </c>
      <c r="R5" s="30">
        <f t="shared" si="0"/>
        <v>561</v>
      </c>
      <c r="S5" s="30">
        <f t="shared" si="0"/>
        <v>556.5</v>
      </c>
      <c r="T5" s="30">
        <f t="shared" si="0"/>
        <v>578.29999999999995</v>
      </c>
      <c r="U5" s="30">
        <f t="shared" si="0"/>
        <v>612.70000000000005</v>
      </c>
      <c r="V5" s="30">
        <f t="shared" si="0"/>
        <v>555.1</v>
      </c>
      <c r="W5" s="30">
        <f t="shared" si="0"/>
        <v>551.20000000000005</v>
      </c>
      <c r="X5" s="30">
        <f t="shared" si="0"/>
        <v>577.29999999999995</v>
      </c>
      <c r="Y5" s="30">
        <f t="shared" si="0"/>
        <v>560.69999999999993</v>
      </c>
      <c r="Z5" s="30">
        <f t="shared" si="0"/>
        <v>556.69999999999993</v>
      </c>
      <c r="AA5" s="30">
        <f t="shared" si="0"/>
        <v>525.69999999999993</v>
      </c>
      <c r="AB5" s="30">
        <f t="shared" si="0"/>
        <v>534.29999999999995</v>
      </c>
      <c r="AC5" s="30">
        <f t="shared" si="0"/>
        <v>481.4</v>
      </c>
      <c r="AD5" s="30">
        <f t="shared" si="0"/>
        <v>536</v>
      </c>
      <c r="AE5" s="30">
        <f t="shared" si="0"/>
        <v>520</v>
      </c>
      <c r="AF5" s="30">
        <f>B82</f>
        <v>483.6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Load=988</v>
      </c>
      <c r="B7" s="35">
        <f t="shared" ref="B7:AF7" si="1">B89</f>
        <v>1040.8399999999999</v>
      </c>
      <c r="C7" s="35">
        <f t="shared" si="1"/>
        <v>1019.24</v>
      </c>
      <c r="D7" s="35">
        <f t="shared" si="1"/>
        <v>987.63999999999987</v>
      </c>
      <c r="E7" s="35">
        <f t="shared" si="1"/>
        <v>996.33999999999992</v>
      </c>
      <c r="F7" s="35">
        <f t="shared" si="1"/>
        <v>1003.24</v>
      </c>
      <c r="G7" s="35">
        <f t="shared" si="1"/>
        <v>1028.3399999999999</v>
      </c>
      <c r="H7" s="35">
        <f t="shared" si="1"/>
        <v>1073.94</v>
      </c>
      <c r="I7" s="35">
        <f t="shared" si="1"/>
        <v>1120.3399999999999</v>
      </c>
      <c r="J7" s="35">
        <f t="shared" si="1"/>
        <v>1200.04</v>
      </c>
      <c r="K7" s="35">
        <f t="shared" si="1"/>
        <v>1326.4399999999998</v>
      </c>
      <c r="L7" s="35">
        <f t="shared" si="1"/>
        <v>1388.84</v>
      </c>
      <c r="M7" s="35">
        <f t="shared" si="1"/>
        <v>1424.04</v>
      </c>
      <c r="N7" s="35">
        <f>N89</f>
        <v>1317.6399999999999</v>
      </c>
      <c r="O7" s="35">
        <f t="shared" si="1"/>
        <v>1346.8400000000001</v>
      </c>
      <c r="P7" s="35">
        <f t="shared" si="1"/>
        <v>1337.2400000000002</v>
      </c>
      <c r="Q7" s="35">
        <f t="shared" si="1"/>
        <v>1316.74</v>
      </c>
      <c r="R7" s="35">
        <f t="shared" si="1"/>
        <v>1296.94</v>
      </c>
      <c r="S7" s="35">
        <f t="shared" si="1"/>
        <v>1320.74</v>
      </c>
      <c r="T7" s="35">
        <f t="shared" si="1"/>
        <v>1375.7399999999998</v>
      </c>
      <c r="U7" s="35">
        <f t="shared" si="1"/>
        <v>1370.44</v>
      </c>
      <c r="V7" s="35">
        <f t="shared" si="1"/>
        <v>1306.44</v>
      </c>
      <c r="W7" s="35">
        <f t="shared" si="1"/>
        <v>1361.04</v>
      </c>
      <c r="X7" s="35">
        <f t="shared" si="1"/>
        <v>1396.74</v>
      </c>
      <c r="Y7" s="35">
        <f t="shared" si="1"/>
        <v>1571.1399999999999</v>
      </c>
      <c r="Z7" s="35">
        <f t="shared" si="1"/>
        <v>1549.04</v>
      </c>
      <c r="AA7" s="35">
        <f t="shared" si="1"/>
        <v>1487.4399999999998</v>
      </c>
      <c r="AB7" s="35">
        <f t="shared" si="1"/>
        <v>1401.8399999999997</v>
      </c>
      <c r="AC7" s="35">
        <f t="shared" si="1"/>
        <v>1340.94</v>
      </c>
      <c r="AD7" s="35">
        <f t="shared" si="1"/>
        <v>1218.1399999999999</v>
      </c>
      <c r="AE7" s="35">
        <f t="shared" si="1"/>
        <v>1164.94</v>
      </c>
      <c r="AF7" s="35">
        <f t="shared" si="1"/>
        <v>1078.94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20</v>
      </c>
      <c r="C11" s="45">
        <v>20</v>
      </c>
      <c r="D11" s="45">
        <v>20</v>
      </c>
      <c r="E11" s="45">
        <v>20</v>
      </c>
      <c r="F11" s="45">
        <v>20</v>
      </c>
      <c r="G11" s="45">
        <v>20</v>
      </c>
      <c r="H11" s="45">
        <v>20</v>
      </c>
      <c r="I11" s="45">
        <v>20</v>
      </c>
      <c r="J11" s="45">
        <v>20</v>
      </c>
      <c r="K11" s="45">
        <v>20</v>
      </c>
      <c r="L11" s="45">
        <v>20</v>
      </c>
      <c r="M11" s="45">
        <v>20</v>
      </c>
      <c r="N11" s="45">
        <v>20</v>
      </c>
      <c r="O11" s="45">
        <v>20</v>
      </c>
      <c r="P11" s="45">
        <v>20</v>
      </c>
      <c r="Q11" s="45">
        <v>20</v>
      </c>
      <c r="R11" s="45">
        <v>20</v>
      </c>
      <c r="S11" s="45">
        <v>20</v>
      </c>
      <c r="T11" s="45">
        <v>20</v>
      </c>
      <c r="U11" s="45">
        <v>20</v>
      </c>
      <c r="V11" s="45">
        <v>20</v>
      </c>
      <c r="W11" s="45">
        <v>20</v>
      </c>
      <c r="X11" s="45">
        <v>20</v>
      </c>
      <c r="Y11" s="45">
        <v>20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6">
        <v>86</v>
      </c>
      <c r="AH11" s="47">
        <f t="shared" ref="AH11:AH74" si="2">MAX(B11:AF11)</f>
        <v>20</v>
      </c>
      <c r="AI11" s="48">
        <f t="shared" ref="AI11:AI74" si="3">MIN(B11:AF11)</f>
        <v>20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14.3</v>
      </c>
      <c r="C12" s="45">
        <v>14.3</v>
      </c>
      <c r="D12" s="45">
        <v>14.3</v>
      </c>
      <c r="E12" s="45">
        <v>14.3</v>
      </c>
      <c r="F12" s="45">
        <v>14.3</v>
      </c>
      <c r="G12" s="45">
        <v>14.3</v>
      </c>
      <c r="H12" s="45">
        <v>14.3</v>
      </c>
      <c r="I12" s="45">
        <v>14.3</v>
      </c>
      <c r="J12" s="45">
        <v>14.3</v>
      </c>
      <c r="K12" s="45">
        <v>14.3</v>
      </c>
      <c r="L12" s="45">
        <v>14.3</v>
      </c>
      <c r="M12" s="45">
        <v>14.3</v>
      </c>
      <c r="N12" s="45">
        <v>14.1</v>
      </c>
      <c r="O12" s="45">
        <v>14.1</v>
      </c>
      <c r="P12" s="45">
        <v>14.1</v>
      </c>
      <c r="Q12" s="45">
        <v>14.1</v>
      </c>
      <c r="R12" s="45">
        <v>14.1</v>
      </c>
      <c r="S12" s="45">
        <v>14.1</v>
      </c>
      <c r="T12" s="45">
        <v>13.7</v>
      </c>
      <c r="U12" s="45">
        <v>13.7</v>
      </c>
      <c r="V12" s="45">
        <v>13.7</v>
      </c>
      <c r="W12" s="45">
        <v>13.7</v>
      </c>
      <c r="X12" s="45">
        <v>13.7</v>
      </c>
      <c r="Y12" s="45">
        <v>13.7</v>
      </c>
      <c r="Z12" s="45">
        <v>13.7</v>
      </c>
      <c r="AA12" s="45">
        <v>13.7</v>
      </c>
      <c r="AB12" s="45">
        <v>13.7</v>
      </c>
      <c r="AC12" s="45">
        <v>13.7</v>
      </c>
      <c r="AD12" s="45">
        <v>13.7</v>
      </c>
      <c r="AE12" s="45">
        <v>13.7</v>
      </c>
      <c r="AF12" s="45">
        <v>13.7</v>
      </c>
      <c r="AG12" s="46">
        <v>52.4</v>
      </c>
      <c r="AH12" s="47">
        <f t="shared" si="2"/>
        <v>14.3</v>
      </c>
      <c r="AI12" s="48">
        <f t="shared" si="3"/>
        <v>13.7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28.9</v>
      </c>
      <c r="C13" s="45">
        <v>28.9</v>
      </c>
      <c r="D13" s="45">
        <v>28.9</v>
      </c>
      <c r="E13" s="45">
        <v>28.9</v>
      </c>
      <c r="F13" s="45">
        <v>28.9</v>
      </c>
      <c r="G13" s="45">
        <v>28.9</v>
      </c>
      <c r="H13" s="45">
        <v>28.9</v>
      </c>
      <c r="I13" s="45">
        <v>28.9</v>
      </c>
      <c r="J13" s="45">
        <v>28.9</v>
      </c>
      <c r="K13" s="45">
        <v>28.9</v>
      </c>
      <c r="L13" s="45">
        <v>28.9</v>
      </c>
      <c r="M13" s="45">
        <v>28.9</v>
      </c>
      <c r="N13" s="45">
        <v>27.3</v>
      </c>
      <c r="O13" s="45">
        <v>27.3</v>
      </c>
      <c r="P13" s="45">
        <v>27.3</v>
      </c>
      <c r="Q13" s="45">
        <v>27.3</v>
      </c>
      <c r="R13" s="45">
        <v>27.3</v>
      </c>
      <c r="S13" s="45">
        <v>27.3</v>
      </c>
      <c r="T13" s="45">
        <v>27.4</v>
      </c>
      <c r="U13" s="45">
        <v>27.4</v>
      </c>
      <c r="V13" s="45">
        <v>27.4</v>
      </c>
      <c r="W13" s="45">
        <v>27.4</v>
      </c>
      <c r="X13" s="45">
        <v>27.4</v>
      </c>
      <c r="Y13" s="45">
        <v>27.4</v>
      </c>
      <c r="Z13" s="45">
        <v>27.4</v>
      </c>
      <c r="AA13" s="45">
        <v>27.4</v>
      </c>
      <c r="AB13" s="45">
        <v>27.4</v>
      </c>
      <c r="AC13" s="45">
        <v>27.4</v>
      </c>
      <c r="AD13" s="45">
        <v>27.4</v>
      </c>
      <c r="AE13" s="45">
        <v>27.4</v>
      </c>
      <c r="AF13" s="45">
        <v>27.4</v>
      </c>
      <c r="AG13" s="50">
        <v>50</v>
      </c>
      <c r="AH13" s="47">
        <f t="shared" si="2"/>
        <v>28.9</v>
      </c>
      <c r="AI13" s="48">
        <f t="shared" si="3"/>
        <v>27.3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15.5</v>
      </c>
      <c r="O14" s="45">
        <v>15.5</v>
      </c>
      <c r="P14" s="45">
        <v>15.5</v>
      </c>
      <c r="Q14" s="45">
        <v>15.5</v>
      </c>
      <c r="R14" s="45">
        <v>15.5</v>
      </c>
      <c r="S14" s="45">
        <v>15.5</v>
      </c>
      <c r="T14" s="45">
        <v>15.3</v>
      </c>
      <c r="U14" s="45">
        <v>15.3</v>
      </c>
      <c r="V14" s="45">
        <v>15.3</v>
      </c>
      <c r="W14" s="45">
        <v>15.3</v>
      </c>
      <c r="X14" s="45">
        <v>15.3</v>
      </c>
      <c r="Y14" s="45">
        <v>15.3</v>
      </c>
      <c r="Z14" s="45">
        <v>15.3</v>
      </c>
      <c r="AA14" s="45">
        <v>15.3</v>
      </c>
      <c r="AB14" s="45">
        <v>15.3</v>
      </c>
      <c r="AC14" s="45">
        <v>15.3</v>
      </c>
      <c r="AD14" s="45">
        <v>15.3</v>
      </c>
      <c r="AE14" s="45">
        <v>15.3</v>
      </c>
      <c r="AF14" s="45">
        <v>15.3</v>
      </c>
      <c r="AG14" s="50">
        <v>45</v>
      </c>
      <c r="AH14" s="47">
        <f t="shared" si="2"/>
        <v>15.5</v>
      </c>
      <c r="AI14" s="48">
        <f t="shared" si="3"/>
        <v>15.3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7.5</v>
      </c>
      <c r="C15" s="45">
        <v>7.5</v>
      </c>
      <c r="D15" s="45">
        <v>7.5</v>
      </c>
      <c r="E15" s="45">
        <v>7.5</v>
      </c>
      <c r="F15" s="45">
        <v>7.5</v>
      </c>
      <c r="G15" s="45">
        <v>7.5</v>
      </c>
      <c r="H15" s="45">
        <v>7.5</v>
      </c>
      <c r="I15" s="45">
        <v>7.5</v>
      </c>
      <c r="J15" s="45">
        <v>7.5</v>
      </c>
      <c r="K15" s="45">
        <v>7.5</v>
      </c>
      <c r="L15" s="45">
        <v>7.5</v>
      </c>
      <c r="M15" s="45">
        <v>7.5</v>
      </c>
      <c r="N15" s="45">
        <v>7.5</v>
      </c>
      <c r="O15" s="45">
        <v>7.5</v>
      </c>
      <c r="P15" s="45">
        <v>7.5</v>
      </c>
      <c r="Q15" s="45">
        <v>7.5</v>
      </c>
      <c r="R15" s="45">
        <v>7.5</v>
      </c>
      <c r="S15" s="45">
        <v>7.5</v>
      </c>
      <c r="T15" s="45">
        <v>7.5</v>
      </c>
      <c r="U15" s="45">
        <v>7.5</v>
      </c>
      <c r="V15" s="45">
        <v>7.5</v>
      </c>
      <c r="W15" s="45">
        <v>7.5</v>
      </c>
      <c r="X15" s="45">
        <v>7.5</v>
      </c>
      <c r="Y15" s="45">
        <v>7.5</v>
      </c>
      <c r="Z15" s="45">
        <v>7.5</v>
      </c>
      <c r="AA15" s="45">
        <v>7.5</v>
      </c>
      <c r="AB15" s="45">
        <v>7.5</v>
      </c>
      <c r="AC15" s="45">
        <v>7.5</v>
      </c>
      <c r="AD15" s="45">
        <v>7.5</v>
      </c>
      <c r="AE15" s="45">
        <v>7.5</v>
      </c>
      <c r="AF15" s="45">
        <v>7.5</v>
      </c>
      <c r="AG15" s="50">
        <v>42</v>
      </c>
      <c r="AH15" s="47">
        <f t="shared" si="2"/>
        <v>7.5</v>
      </c>
      <c r="AI15" s="48">
        <f t="shared" si="3"/>
        <v>7.5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7.1</v>
      </c>
      <c r="C18" s="45">
        <v>7.1</v>
      </c>
      <c r="D18" s="45">
        <v>7.1</v>
      </c>
      <c r="E18" s="45">
        <v>7.1</v>
      </c>
      <c r="F18" s="45">
        <v>7.1</v>
      </c>
      <c r="G18" s="45">
        <v>7.1</v>
      </c>
      <c r="H18" s="45">
        <v>7.1</v>
      </c>
      <c r="I18" s="45">
        <v>7.1</v>
      </c>
      <c r="J18" s="45">
        <v>7.1</v>
      </c>
      <c r="K18" s="45">
        <v>7.1</v>
      </c>
      <c r="L18" s="45">
        <v>7.1</v>
      </c>
      <c r="M18" s="45">
        <v>7.1</v>
      </c>
      <c r="N18" s="45">
        <v>7.1</v>
      </c>
      <c r="O18" s="45">
        <v>7.1</v>
      </c>
      <c r="P18" s="45">
        <v>7.1</v>
      </c>
      <c r="Q18" s="45">
        <v>7.1</v>
      </c>
      <c r="R18" s="45">
        <v>7.1</v>
      </c>
      <c r="S18" s="45">
        <v>7.1</v>
      </c>
      <c r="T18" s="45">
        <v>6.5</v>
      </c>
      <c r="U18" s="45">
        <v>6.5</v>
      </c>
      <c r="V18" s="45">
        <v>6.5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51">
        <v>30</v>
      </c>
      <c r="AH18" s="47">
        <f t="shared" si="2"/>
        <v>7.1</v>
      </c>
      <c r="AI18" s="48">
        <f t="shared" si="3"/>
        <v>6.5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>
        <v>7</v>
      </c>
      <c r="O21" s="45">
        <v>7</v>
      </c>
      <c r="P21" s="45">
        <v>7</v>
      </c>
      <c r="Q21" s="45">
        <v>7</v>
      </c>
      <c r="R21" s="45">
        <v>7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7</v>
      </c>
      <c r="AF21" s="45">
        <v>7</v>
      </c>
      <c r="AG21" s="51">
        <v>30</v>
      </c>
      <c r="AH21" s="47">
        <f t="shared" si="2"/>
        <v>7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</v>
      </c>
      <c r="C22" s="45">
        <v>8.1</v>
      </c>
      <c r="D22" s="45">
        <v>8.1</v>
      </c>
      <c r="E22" s="45">
        <v>8.1</v>
      </c>
      <c r="F22" s="45">
        <v>8.1</v>
      </c>
      <c r="G22" s="45">
        <v>8.1</v>
      </c>
      <c r="H22" s="45">
        <v>8.1</v>
      </c>
      <c r="I22" s="45">
        <v>8.1</v>
      </c>
      <c r="J22" s="45">
        <v>8.1</v>
      </c>
      <c r="K22" s="45">
        <v>8.1</v>
      </c>
      <c r="L22" s="45">
        <v>8.1</v>
      </c>
      <c r="M22" s="45">
        <v>8.1</v>
      </c>
      <c r="N22" s="45">
        <v>8.1</v>
      </c>
      <c r="O22" s="45">
        <v>8.1</v>
      </c>
      <c r="P22" s="45">
        <v>8.1</v>
      </c>
      <c r="Q22" s="45">
        <v>8.1</v>
      </c>
      <c r="R22" s="45">
        <v>8.1</v>
      </c>
      <c r="S22" s="45">
        <v>8.1</v>
      </c>
      <c r="T22" s="45">
        <v>8.1</v>
      </c>
      <c r="U22" s="45">
        <v>8.1</v>
      </c>
      <c r="V22" s="45">
        <v>8.1</v>
      </c>
      <c r="W22" s="45">
        <v>8.1</v>
      </c>
      <c r="X22" s="45">
        <v>8.1</v>
      </c>
      <c r="Y22" s="45">
        <v>8.1</v>
      </c>
      <c r="Z22" s="45">
        <v>8.1</v>
      </c>
      <c r="AA22" s="45">
        <v>8.1</v>
      </c>
      <c r="AB22" s="45">
        <v>8.1</v>
      </c>
      <c r="AC22" s="45">
        <v>8.1</v>
      </c>
      <c r="AD22" s="45">
        <v>8.1</v>
      </c>
      <c r="AE22" s="45">
        <v>8.1</v>
      </c>
      <c r="AF22" s="45">
        <v>8.1</v>
      </c>
      <c r="AG22" s="50">
        <v>25</v>
      </c>
      <c r="AH22" s="47">
        <f t="shared" si="2"/>
        <v>8.1</v>
      </c>
      <c r="AI22" s="48">
        <f t="shared" si="3"/>
        <v>8.1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5.9</v>
      </c>
      <c r="C26" s="45">
        <v>5.9</v>
      </c>
      <c r="D26" s="45">
        <v>5.9</v>
      </c>
      <c r="E26" s="45">
        <v>5.9</v>
      </c>
      <c r="F26" s="45">
        <v>5.9</v>
      </c>
      <c r="G26" s="45">
        <v>5.9</v>
      </c>
      <c r="H26" s="45">
        <v>5.9</v>
      </c>
      <c r="I26" s="45">
        <v>5.9</v>
      </c>
      <c r="J26" s="45">
        <v>5.9</v>
      </c>
      <c r="K26" s="45">
        <v>5.9</v>
      </c>
      <c r="L26" s="45">
        <v>5.9</v>
      </c>
      <c r="M26" s="45">
        <v>5.9</v>
      </c>
      <c r="N26" s="45">
        <v>5.9</v>
      </c>
      <c r="O26" s="45">
        <v>5.9</v>
      </c>
      <c r="P26" s="45">
        <v>5.9</v>
      </c>
      <c r="Q26" s="45">
        <v>5.9</v>
      </c>
      <c r="R26" s="45">
        <v>5.9</v>
      </c>
      <c r="S26" s="45">
        <v>5.9</v>
      </c>
      <c r="T26" s="45">
        <v>5.9</v>
      </c>
      <c r="U26" s="45">
        <v>5.9</v>
      </c>
      <c r="V26" s="45">
        <v>5.9</v>
      </c>
      <c r="W26" s="45">
        <v>5.9</v>
      </c>
      <c r="X26" s="45">
        <v>5.9</v>
      </c>
      <c r="Y26" s="45">
        <v>5.9</v>
      </c>
      <c r="Z26" s="45">
        <v>5.9</v>
      </c>
      <c r="AA26" s="45">
        <v>5.9</v>
      </c>
      <c r="AB26" s="45">
        <v>5.9</v>
      </c>
      <c r="AC26" s="45">
        <v>5.9</v>
      </c>
      <c r="AD26" s="45">
        <v>5.9</v>
      </c>
      <c r="AE26" s="45">
        <v>5.9</v>
      </c>
      <c r="AF26" s="45">
        <v>5.9</v>
      </c>
      <c r="AG26" s="50">
        <v>23.5</v>
      </c>
      <c r="AH26" s="47">
        <f t="shared" si="2"/>
        <v>5.9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50">
        <v>22</v>
      </c>
      <c r="AH30" s="47">
        <f t="shared" si="2"/>
        <v>9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</v>
      </c>
      <c r="C38" s="45">
        <v>7</v>
      </c>
      <c r="D38" s="45">
        <v>7</v>
      </c>
      <c r="E38" s="45">
        <v>7</v>
      </c>
      <c r="F38" s="45">
        <v>7</v>
      </c>
      <c r="G38" s="45">
        <v>7</v>
      </c>
      <c r="H38" s="45">
        <v>7</v>
      </c>
      <c r="I38" s="45">
        <v>7</v>
      </c>
      <c r="J38" s="45">
        <v>7</v>
      </c>
      <c r="K38" s="45">
        <v>7</v>
      </c>
      <c r="L38" s="45">
        <v>7</v>
      </c>
      <c r="M38" s="45">
        <v>7</v>
      </c>
      <c r="N38" s="45">
        <v>7</v>
      </c>
      <c r="O38" s="45">
        <v>7</v>
      </c>
      <c r="P38" s="45">
        <v>7</v>
      </c>
      <c r="Q38" s="45">
        <v>7</v>
      </c>
      <c r="R38" s="45">
        <v>7</v>
      </c>
      <c r="S38" s="45">
        <v>7</v>
      </c>
      <c r="T38" s="45">
        <v>4.8</v>
      </c>
      <c r="U38" s="45">
        <v>4.8</v>
      </c>
      <c r="V38" s="45">
        <v>4.8</v>
      </c>
      <c r="W38" s="45">
        <v>4.8</v>
      </c>
      <c r="X38" s="45">
        <v>4.8</v>
      </c>
      <c r="Y38" s="45">
        <v>4.8</v>
      </c>
      <c r="Z38" s="45">
        <v>4.8</v>
      </c>
      <c r="AA38" s="45">
        <v>4.8</v>
      </c>
      <c r="AB38" s="45">
        <v>4.8</v>
      </c>
      <c r="AC38" s="45">
        <v>4.8</v>
      </c>
      <c r="AD38" s="45">
        <v>4.8</v>
      </c>
      <c r="AE38" s="45">
        <v>4.8</v>
      </c>
      <c r="AF38" s="45">
        <v>4.8</v>
      </c>
      <c r="AG38" s="50">
        <v>12</v>
      </c>
      <c r="AH38" s="47">
        <f t="shared" si="2"/>
        <v>7</v>
      </c>
      <c r="AI38" s="48">
        <f t="shared" si="3"/>
        <v>4.8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" si="4">SUM(B12:B46)</f>
        <v>351.79999999999995</v>
      </c>
      <c r="C48" s="60">
        <f t="shared" ref="C48:AG48" si="5">SUM(C12:C46)</f>
        <v>351.79999999999995</v>
      </c>
      <c r="D48" s="60">
        <f t="shared" si="5"/>
        <v>351.79999999999995</v>
      </c>
      <c r="E48" s="60">
        <f t="shared" si="5"/>
        <v>351.79999999999995</v>
      </c>
      <c r="F48" s="60">
        <f t="shared" si="5"/>
        <v>351.79999999999995</v>
      </c>
      <c r="G48" s="60">
        <f t="shared" si="5"/>
        <v>351.79999999999995</v>
      </c>
      <c r="H48" s="60">
        <f t="shared" si="5"/>
        <v>351.79999999999995</v>
      </c>
      <c r="I48" s="60">
        <f t="shared" si="5"/>
        <v>351.79999999999995</v>
      </c>
      <c r="J48" s="60">
        <f t="shared" si="5"/>
        <v>351.79999999999995</v>
      </c>
      <c r="K48" s="60">
        <f t="shared" si="5"/>
        <v>351.79999999999995</v>
      </c>
      <c r="L48" s="60">
        <f t="shared" si="5"/>
        <v>351.79999999999995</v>
      </c>
      <c r="M48" s="60">
        <f t="shared" si="5"/>
        <v>351.79999999999995</v>
      </c>
      <c r="N48" s="60">
        <f t="shared" si="5"/>
        <v>350.1</v>
      </c>
      <c r="O48" s="60">
        <f t="shared" si="5"/>
        <v>350.1</v>
      </c>
      <c r="P48" s="60">
        <f t="shared" si="5"/>
        <v>350.1</v>
      </c>
      <c r="Q48" s="60">
        <f t="shared" si="5"/>
        <v>350.1</v>
      </c>
      <c r="R48" s="60">
        <f t="shared" si="5"/>
        <v>350.1</v>
      </c>
      <c r="S48" s="60">
        <f t="shared" si="5"/>
        <v>350.1</v>
      </c>
      <c r="T48" s="60">
        <f t="shared" si="5"/>
        <v>344.79999999999995</v>
      </c>
      <c r="U48" s="60">
        <f t="shared" si="5"/>
        <v>344.79999999999995</v>
      </c>
      <c r="V48" s="60">
        <f t="shared" si="5"/>
        <v>344.79999999999995</v>
      </c>
      <c r="W48" s="60">
        <f t="shared" si="5"/>
        <v>344.79999999999995</v>
      </c>
      <c r="X48" s="60">
        <f t="shared" si="5"/>
        <v>344.79999999999995</v>
      </c>
      <c r="Y48" s="60">
        <f t="shared" si="5"/>
        <v>344.79999999999995</v>
      </c>
      <c r="Z48" s="60">
        <f t="shared" si="5"/>
        <v>344.79999999999995</v>
      </c>
      <c r="AA48" s="60">
        <f t="shared" si="5"/>
        <v>344.79999999999995</v>
      </c>
      <c r="AB48" s="60">
        <f t="shared" si="5"/>
        <v>344.79999999999995</v>
      </c>
      <c r="AC48" s="60">
        <f t="shared" si="5"/>
        <v>344.79999999999995</v>
      </c>
      <c r="AD48" s="60">
        <f t="shared" si="5"/>
        <v>344.79999999999995</v>
      </c>
      <c r="AE48" s="60">
        <f t="shared" si="5"/>
        <v>344.79999999999995</v>
      </c>
      <c r="AF48" s="60">
        <f t="shared" si="5"/>
        <v>344.79999999999995</v>
      </c>
      <c r="AG48" s="61">
        <f t="shared" si="5"/>
        <v>875.68</v>
      </c>
      <c r="AH48" s="47">
        <f t="shared" si="2"/>
        <v>351.79999999999995</v>
      </c>
      <c r="AI48" s="48">
        <f t="shared" si="3"/>
        <v>344.79999999999995</v>
      </c>
      <c r="AK48" s="49"/>
    </row>
    <row r="49" spans="1:41" x14ac:dyDescent="0.25">
      <c r="A49" s="62" t="s">
        <v>53</v>
      </c>
      <c r="B49" s="45">
        <v>75</v>
      </c>
      <c r="C49" s="45">
        <v>45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15</v>
      </c>
      <c r="J49" s="45">
        <v>45</v>
      </c>
      <c r="K49" s="45">
        <v>45</v>
      </c>
      <c r="L49" s="45">
        <v>100</v>
      </c>
      <c r="M49" s="63">
        <v>80</v>
      </c>
      <c r="N49" s="63">
        <v>90</v>
      </c>
      <c r="O49" s="45">
        <v>80</v>
      </c>
      <c r="P49" s="45">
        <v>80</v>
      </c>
      <c r="Q49" s="45">
        <v>100</v>
      </c>
      <c r="R49" s="45">
        <v>100</v>
      </c>
      <c r="S49" s="45">
        <v>100</v>
      </c>
      <c r="T49" s="45">
        <v>135</v>
      </c>
      <c r="U49" s="45">
        <v>120</v>
      </c>
      <c r="V49" s="45">
        <v>60</v>
      </c>
      <c r="W49" s="45">
        <v>70</v>
      </c>
      <c r="X49" s="45">
        <v>100</v>
      </c>
      <c r="Y49" s="45">
        <v>150</v>
      </c>
      <c r="Z49" s="45">
        <v>131</v>
      </c>
      <c r="AA49" s="45">
        <v>131</v>
      </c>
      <c r="AB49" s="45">
        <v>100</v>
      </c>
      <c r="AC49" s="45">
        <v>80</v>
      </c>
      <c r="AD49" s="45">
        <v>40</v>
      </c>
      <c r="AE49" s="45">
        <v>40</v>
      </c>
      <c r="AF49" s="45">
        <v>20</v>
      </c>
      <c r="AG49" s="51">
        <v>456</v>
      </c>
      <c r="AH49" s="47">
        <f t="shared" si="2"/>
        <v>150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25</v>
      </c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27</v>
      </c>
      <c r="Z50" s="65">
        <v>27</v>
      </c>
      <c r="AA50" s="65">
        <v>27</v>
      </c>
      <c r="AB50" s="65">
        <v>27</v>
      </c>
      <c r="AC50" s="65">
        <v>27</v>
      </c>
      <c r="AD50" s="65">
        <v>27</v>
      </c>
      <c r="AE50" s="65">
        <v>27</v>
      </c>
      <c r="AF50" s="65">
        <v>27</v>
      </c>
      <c r="AG50" s="54">
        <v>60</v>
      </c>
      <c r="AH50" s="47">
        <f t="shared" si="2"/>
        <v>27</v>
      </c>
      <c r="AI50" s="48">
        <f t="shared" si="3"/>
        <v>25</v>
      </c>
      <c r="AK50" s="49"/>
    </row>
    <row r="51" spans="1:41" ht="15.75" thickBot="1" x14ac:dyDescent="0.3">
      <c r="A51" s="66" t="s">
        <v>55</v>
      </c>
      <c r="B51" s="67">
        <v>10.199999999999999</v>
      </c>
      <c r="C51" s="67">
        <v>10.199999999999999</v>
      </c>
      <c r="D51" s="67">
        <v>10.199999999999999</v>
      </c>
      <c r="E51" s="67">
        <v>10.199999999999999</v>
      </c>
      <c r="F51" s="67">
        <v>10.199999999999999</v>
      </c>
      <c r="G51" s="67">
        <v>10.199999999999999</v>
      </c>
      <c r="H51" s="67">
        <v>10.199999999999999</v>
      </c>
      <c r="I51" s="67">
        <v>10.199999999999999</v>
      </c>
      <c r="J51" s="67">
        <v>10.199999999999999</v>
      </c>
      <c r="K51" s="67">
        <v>10.199999999999999</v>
      </c>
      <c r="L51" s="67">
        <v>10.199999999999999</v>
      </c>
      <c r="M51" s="67">
        <v>10.199999999999999</v>
      </c>
      <c r="N51" s="67">
        <v>10.6</v>
      </c>
      <c r="O51" s="67">
        <v>10.6</v>
      </c>
      <c r="P51" s="67">
        <v>10.199999999999999</v>
      </c>
      <c r="Q51" s="67">
        <v>10.3</v>
      </c>
      <c r="R51" s="67">
        <v>10.3</v>
      </c>
      <c r="S51" s="67">
        <v>10.3</v>
      </c>
      <c r="T51" s="67">
        <v>10.3</v>
      </c>
      <c r="U51" s="67">
        <v>10.3</v>
      </c>
      <c r="V51" s="67">
        <v>10.3</v>
      </c>
      <c r="W51" s="67">
        <v>10.3</v>
      </c>
      <c r="X51" s="67">
        <v>10.3</v>
      </c>
      <c r="Y51" s="67">
        <v>9.1</v>
      </c>
      <c r="Z51" s="67">
        <v>9.1</v>
      </c>
      <c r="AA51" s="67">
        <v>9.1</v>
      </c>
      <c r="AB51" s="67">
        <v>9.1</v>
      </c>
      <c r="AC51" s="67">
        <v>9.1</v>
      </c>
      <c r="AD51" s="67">
        <v>9.1</v>
      </c>
      <c r="AE51" s="67">
        <v>9.1</v>
      </c>
      <c r="AF51" s="67">
        <v>9.1</v>
      </c>
      <c r="AG51" s="68">
        <v>22.1</v>
      </c>
      <c r="AH51" s="47">
        <f t="shared" si="2"/>
        <v>10.6</v>
      </c>
      <c r="AI51" s="48">
        <f t="shared" si="3"/>
        <v>9.1</v>
      </c>
      <c r="AK51" s="49"/>
    </row>
    <row r="52" spans="1:41" ht="15.75" thickBot="1" x14ac:dyDescent="0.3">
      <c r="A52" s="69" t="s">
        <v>56</v>
      </c>
      <c r="B52" s="60">
        <f t="shared" ref="B52" si="6">SUM(B49:B51)</f>
        <v>110.2</v>
      </c>
      <c r="C52" s="60">
        <f t="shared" ref="C52:AG52" si="7">SUM(C49:C51)</f>
        <v>80.2</v>
      </c>
      <c r="D52" s="60">
        <f t="shared" si="7"/>
        <v>35.200000000000003</v>
      </c>
      <c r="E52" s="60">
        <f t="shared" si="7"/>
        <v>35.200000000000003</v>
      </c>
      <c r="F52" s="60">
        <f t="shared" si="7"/>
        <v>35.200000000000003</v>
      </c>
      <c r="G52" s="60">
        <f t="shared" si="7"/>
        <v>35.200000000000003</v>
      </c>
      <c r="H52" s="60">
        <f t="shared" si="7"/>
        <v>35.200000000000003</v>
      </c>
      <c r="I52" s="60">
        <f t="shared" si="7"/>
        <v>50.2</v>
      </c>
      <c r="J52" s="60">
        <f t="shared" si="7"/>
        <v>80.2</v>
      </c>
      <c r="K52" s="60">
        <f t="shared" si="7"/>
        <v>80.2</v>
      </c>
      <c r="L52" s="60">
        <f t="shared" si="7"/>
        <v>135.19999999999999</v>
      </c>
      <c r="M52" s="60">
        <f t="shared" si="7"/>
        <v>115.2</v>
      </c>
      <c r="N52" s="60">
        <f t="shared" si="7"/>
        <v>125.6</v>
      </c>
      <c r="O52" s="60">
        <f t="shared" si="7"/>
        <v>115.6</v>
      </c>
      <c r="P52" s="60">
        <f t="shared" si="7"/>
        <v>115.2</v>
      </c>
      <c r="Q52" s="60">
        <f t="shared" si="7"/>
        <v>135.30000000000001</v>
      </c>
      <c r="R52" s="60">
        <f t="shared" si="7"/>
        <v>135.30000000000001</v>
      </c>
      <c r="S52" s="60">
        <f t="shared" si="7"/>
        <v>135.30000000000001</v>
      </c>
      <c r="T52" s="60">
        <f t="shared" si="7"/>
        <v>170.3</v>
      </c>
      <c r="U52" s="60">
        <f t="shared" si="7"/>
        <v>155.30000000000001</v>
      </c>
      <c r="V52" s="60">
        <f t="shared" si="7"/>
        <v>95.3</v>
      </c>
      <c r="W52" s="60">
        <f t="shared" si="7"/>
        <v>105.3</v>
      </c>
      <c r="X52" s="60">
        <f t="shared" si="7"/>
        <v>135.30000000000001</v>
      </c>
      <c r="Y52" s="60">
        <f t="shared" si="7"/>
        <v>186.1</v>
      </c>
      <c r="Z52" s="60">
        <f t="shared" si="7"/>
        <v>167.1</v>
      </c>
      <c r="AA52" s="60">
        <f t="shared" si="7"/>
        <v>167.1</v>
      </c>
      <c r="AB52" s="60">
        <f t="shared" si="7"/>
        <v>136.1</v>
      </c>
      <c r="AC52" s="60">
        <f t="shared" si="7"/>
        <v>116.1</v>
      </c>
      <c r="AD52" s="60">
        <f t="shared" si="7"/>
        <v>76.099999999999994</v>
      </c>
      <c r="AE52" s="60">
        <f t="shared" si="7"/>
        <v>76.099999999999994</v>
      </c>
      <c r="AF52" s="60">
        <f t="shared" si="7"/>
        <v>56.1</v>
      </c>
      <c r="AG52" s="61">
        <f t="shared" si="7"/>
        <v>538.1</v>
      </c>
      <c r="AH52" s="47">
        <f t="shared" si="2"/>
        <v>186.1</v>
      </c>
      <c r="AI52" s="48">
        <f t="shared" si="3"/>
        <v>35.200000000000003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41</v>
      </c>
      <c r="I53" s="45">
        <v>63</v>
      </c>
      <c r="J53" s="45">
        <v>91.4</v>
      </c>
      <c r="K53" s="45">
        <v>94.1</v>
      </c>
      <c r="L53" s="45">
        <v>94.2</v>
      </c>
      <c r="M53" s="45">
        <v>94.2</v>
      </c>
      <c r="N53" s="45">
        <v>60.9</v>
      </c>
      <c r="O53" s="45">
        <v>61</v>
      </c>
      <c r="P53" s="45">
        <v>82.5</v>
      </c>
      <c r="Q53" s="45">
        <v>80</v>
      </c>
      <c r="R53" s="45">
        <v>81.099999999999994</v>
      </c>
      <c r="S53" s="45">
        <v>81</v>
      </c>
      <c r="T53" s="45">
        <v>93.3</v>
      </c>
      <c r="U53" s="45">
        <v>71</v>
      </c>
      <c r="V53" s="45">
        <v>70.900000000000006</v>
      </c>
      <c r="W53" s="45">
        <v>71.400000000000006</v>
      </c>
      <c r="X53" s="45">
        <v>71</v>
      </c>
      <c r="Y53" s="45">
        <v>130</v>
      </c>
      <c r="Z53" s="45">
        <v>112</v>
      </c>
      <c r="AA53" s="45">
        <v>91.6</v>
      </c>
      <c r="AB53" s="45">
        <v>76</v>
      </c>
      <c r="AC53" s="45">
        <v>61</v>
      </c>
      <c r="AD53" s="45">
        <v>61</v>
      </c>
      <c r="AE53" s="45">
        <v>61</v>
      </c>
      <c r="AF53" s="45">
        <v>36</v>
      </c>
      <c r="AG53" s="51">
        <v>144</v>
      </c>
      <c r="AH53" s="47">
        <f t="shared" si="2"/>
        <v>130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17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15.7</v>
      </c>
      <c r="I55" s="65">
        <v>34.5</v>
      </c>
      <c r="J55" s="65">
        <v>54.8</v>
      </c>
      <c r="K55" s="65">
        <v>54.8</v>
      </c>
      <c r="L55" s="65">
        <v>69.7</v>
      </c>
      <c r="M55" s="65">
        <v>69.7</v>
      </c>
      <c r="N55" s="65">
        <v>51.8</v>
      </c>
      <c r="O55" s="65">
        <v>35.200000000000003</v>
      </c>
      <c r="P55" s="65">
        <v>35.200000000000003</v>
      </c>
      <c r="Q55" s="65">
        <v>32.700000000000003</v>
      </c>
      <c r="R55" s="45">
        <v>40.1</v>
      </c>
      <c r="S55" s="45">
        <v>40.299999999999997</v>
      </c>
      <c r="T55" s="45">
        <v>40.1</v>
      </c>
      <c r="U55" s="45">
        <v>33.4</v>
      </c>
      <c r="V55" s="45">
        <v>33</v>
      </c>
      <c r="W55" s="45">
        <v>33.799999999999997</v>
      </c>
      <c r="X55" s="45">
        <v>33.799999999999997</v>
      </c>
      <c r="Y55" s="45">
        <v>68.8</v>
      </c>
      <c r="Z55" s="45">
        <v>68.3</v>
      </c>
      <c r="AA55" s="45">
        <v>51.5</v>
      </c>
      <c r="AB55" s="45">
        <v>51.5</v>
      </c>
      <c r="AC55" s="45">
        <v>33.200000000000003</v>
      </c>
      <c r="AD55" s="45">
        <v>33.200000000000003</v>
      </c>
      <c r="AE55" s="45">
        <v>17.5</v>
      </c>
      <c r="AF55" s="45">
        <v>17.5</v>
      </c>
      <c r="AG55" s="54">
        <v>69</v>
      </c>
      <c r="AH55" s="47">
        <f t="shared" si="2"/>
        <v>69.7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36</v>
      </c>
      <c r="C56" s="65">
        <v>36</v>
      </c>
      <c r="D56" s="65">
        <v>36</v>
      </c>
      <c r="E56" s="65">
        <v>36</v>
      </c>
      <c r="F56" s="65">
        <v>36</v>
      </c>
      <c r="G56" s="65">
        <v>36</v>
      </c>
      <c r="H56" s="65">
        <v>36</v>
      </c>
      <c r="I56" s="65">
        <v>36</v>
      </c>
      <c r="J56" s="65">
        <v>36</v>
      </c>
      <c r="K56" s="65">
        <v>36</v>
      </c>
      <c r="L56" s="65">
        <v>36</v>
      </c>
      <c r="M56" s="65">
        <v>36</v>
      </c>
      <c r="N56" s="65">
        <v>36.299999999999997</v>
      </c>
      <c r="O56" s="65">
        <v>36.200000000000003</v>
      </c>
      <c r="P56" s="65">
        <v>38.299999999999997</v>
      </c>
      <c r="Q56" s="65">
        <v>38.299999999999997</v>
      </c>
      <c r="R56" s="45">
        <v>38.299999999999997</v>
      </c>
      <c r="S56" s="45">
        <v>38.299999999999997</v>
      </c>
      <c r="T56" s="45">
        <v>36.299999999999997</v>
      </c>
      <c r="U56" s="45">
        <v>36.299999999999997</v>
      </c>
      <c r="V56" s="45">
        <v>36.299999999999997</v>
      </c>
      <c r="W56" s="45">
        <v>36.299999999999997</v>
      </c>
      <c r="X56" s="45">
        <v>36.299999999999997</v>
      </c>
      <c r="Y56" s="65">
        <v>36.299999999999997</v>
      </c>
      <c r="Z56" s="65">
        <v>36.299999999999997</v>
      </c>
      <c r="AA56" s="65">
        <v>38</v>
      </c>
      <c r="AB56" s="65">
        <v>38</v>
      </c>
      <c r="AC56" s="65">
        <v>38</v>
      </c>
      <c r="AD56" s="65">
        <v>38</v>
      </c>
      <c r="AE56" s="65">
        <v>38</v>
      </c>
      <c r="AF56" s="65">
        <v>38</v>
      </c>
      <c r="AG56" s="54">
        <v>60</v>
      </c>
      <c r="AH56" s="47">
        <f t="shared" si="2"/>
        <v>38.299999999999997</v>
      </c>
      <c r="AI56" s="48">
        <f t="shared" si="3"/>
        <v>36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10</v>
      </c>
      <c r="K57" s="65">
        <v>10</v>
      </c>
      <c r="L57" s="65">
        <v>15</v>
      </c>
      <c r="M57" s="65">
        <v>15</v>
      </c>
      <c r="N57" s="65">
        <v>15</v>
      </c>
      <c r="O57" s="65">
        <v>13</v>
      </c>
      <c r="P57" s="65">
        <v>13.3</v>
      </c>
      <c r="Q57" s="65">
        <v>13</v>
      </c>
      <c r="R57" s="45">
        <v>13.1</v>
      </c>
      <c r="S57" s="45">
        <v>13.1</v>
      </c>
      <c r="T57" s="45">
        <v>0</v>
      </c>
      <c r="U57" s="45">
        <v>0</v>
      </c>
      <c r="V57" s="45">
        <v>0</v>
      </c>
      <c r="W57" s="45">
        <v>0</v>
      </c>
      <c r="X57" s="45">
        <v>10</v>
      </c>
      <c r="Y57" s="65">
        <v>25</v>
      </c>
      <c r="Z57" s="65">
        <v>25</v>
      </c>
      <c r="AA57" s="65">
        <v>25</v>
      </c>
      <c r="AB57" s="65">
        <v>30</v>
      </c>
      <c r="AC57" s="65">
        <v>25</v>
      </c>
      <c r="AD57" s="65">
        <v>25</v>
      </c>
      <c r="AE57" s="65">
        <v>25</v>
      </c>
      <c r="AF57" s="65">
        <v>0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12</v>
      </c>
      <c r="P58" s="65">
        <v>12</v>
      </c>
      <c r="Q58" s="65">
        <v>13.2</v>
      </c>
      <c r="R58" s="45">
        <v>13</v>
      </c>
      <c r="S58" s="45">
        <v>13</v>
      </c>
      <c r="T58" s="45">
        <v>13</v>
      </c>
      <c r="U58" s="45">
        <v>13</v>
      </c>
      <c r="V58" s="45">
        <v>13</v>
      </c>
      <c r="W58" s="45">
        <v>13</v>
      </c>
      <c r="X58" s="45">
        <v>13</v>
      </c>
      <c r="Y58" s="65">
        <v>13</v>
      </c>
      <c r="Z58" s="65">
        <v>13</v>
      </c>
      <c r="AA58" s="65">
        <v>13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13.2</v>
      </c>
      <c r="AI58" s="48">
        <f t="shared" si="3"/>
        <v>0</v>
      </c>
      <c r="AK58" s="49"/>
    </row>
    <row r="59" spans="1:41" x14ac:dyDescent="0.25">
      <c r="A59" s="53" t="s">
        <v>63</v>
      </c>
      <c r="B59" s="45">
        <v>15</v>
      </c>
      <c r="C59" s="45">
        <v>15</v>
      </c>
      <c r="D59" s="45">
        <v>15</v>
      </c>
      <c r="E59" s="45">
        <v>15</v>
      </c>
      <c r="F59" s="45">
        <v>15</v>
      </c>
      <c r="G59" s="45">
        <v>15</v>
      </c>
      <c r="H59" s="45">
        <v>15</v>
      </c>
      <c r="I59" s="45">
        <v>15</v>
      </c>
      <c r="J59" s="45">
        <v>15</v>
      </c>
      <c r="K59" s="45">
        <v>15</v>
      </c>
      <c r="L59" s="45">
        <v>15</v>
      </c>
      <c r="M59" s="45">
        <v>15</v>
      </c>
      <c r="N59" s="65">
        <v>12</v>
      </c>
      <c r="O59" s="65">
        <v>12</v>
      </c>
      <c r="P59" s="65">
        <v>12</v>
      </c>
      <c r="Q59" s="65">
        <v>12</v>
      </c>
      <c r="R59" s="45">
        <v>12</v>
      </c>
      <c r="S59" s="45">
        <v>12</v>
      </c>
      <c r="T59" s="45">
        <v>12</v>
      </c>
      <c r="U59" s="45">
        <v>12</v>
      </c>
      <c r="V59" s="45">
        <v>12</v>
      </c>
      <c r="W59" s="45">
        <v>12</v>
      </c>
      <c r="X59" s="45">
        <v>12</v>
      </c>
      <c r="Y59" s="65">
        <v>12</v>
      </c>
      <c r="Z59" s="65">
        <v>12</v>
      </c>
      <c r="AA59" s="65">
        <v>12</v>
      </c>
      <c r="AB59" s="65">
        <v>12</v>
      </c>
      <c r="AC59" s="65">
        <v>12</v>
      </c>
      <c r="AD59" s="65">
        <v>12</v>
      </c>
      <c r="AE59" s="65">
        <v>12</v>
      </c>
      <c r="AF59" s="65">
        <v>12</v>
      </c>
      <c r="AG59" s="54">
        <v>24</v>
      </c>
      <c r="AH59" s="47">
        <f t="shared" si="2"/>
        <v>15</v>
      </c>
      <c r="AI59" s="48">
        <f t="shared" si="3"/>
        <v>12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5.0999999999999996</v>
      </c>
      <c r="C62" s="65">
        <v>5.0999999999999996</v>
      </c>
      <c r="D62" s="65">
        <v>5.0999999999999996</v>
      </c>
      <c r="E62" s="65">
        <v>5.0999999999999996</v>
      </c>
      <c r="F62" s="65">
        <v>5.0999999999999996</v>
      </c>
      <c r="G62" s="65">
        <v>5.0999999999999996</v>
      </c>
      <c r="H62" s="65">
        <v>5.0999999999999996</v>
      </c>
      <c r="I62" s="65">
        <v>5.0999999999999996</v>
      </c>
      <c r="J62" s="65">
        <v>5.0999999999999996</v>
      </c>
      <c r="K62" s="65">
        <v>5.0999999999999996</v>
      </c>
      <c r="L62" s="65">
        <v>5.0999999999999996</v>
      </c>
      <c r="M62" s="65">
        <v>5.0999999999999996</v>
      </c>
      <c r="N62" s="65">
        <v>5.0999999999999996</v>
      </c>
      <c r="O62" s="65">
        <v>5.0999999999999996</v>
      </c>
      <c r="P62" s="65">
        <v>5.0999999999999996</v>
      </c>
      <c r="Q62" s="65">
        <v>5.2</v>
      </c>
      <c r="R62" s="65">
        <v>5.2</v>
      </c>
      <c r="S62" s="65">
        <v>5.2</v>
      </c>
      <c r="T62" s="65">
        <v>5.2</v>
      </c>
      <c r="U62" s="65">
        <v>5.2</v>
      </c>
      <c r="V62" s="65">
        <v>5.2</v>
      </c>
      <c r="W62" s="65">
        <v>5.2</v>
      </c>
      <c r="X62" s="65">
        <v>5.2</v>
      </c>
      <c r="Y62" s="65">
        <v>5.2</v>
      </c>
      <c r="Z62" s="65">
        <v>5.2</v>
      </c>
      <c r="AA62" s="65">
        <v>5.2</v>
      </c>
      <c r="AB62" s="65">
        <v>5.2</v>
      </c>
      <c r="AC62" s="65">
        <v>5.2</v>
      </c>
      <c r="AD62" s="65">
        <v>5.2</v>
      </c>
      <c r="AE62" s="65">
        <v>5.2</v>
      </c>
      <c r="AF62" s="65">
        <v>5.2</v>
      </c>
      <c r="AG62" s="54">
        <v>14</v>
      </c>
      <c r="AH62" s="47">
        <f t="shared" si="2"/>
        <v>5.2</v>
      </c>
      <c r="AI62" s="48">
        <f t="shared" si="3"/>
        <v>5.0999999999999996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4.5999999999999996</v>
      </c>
      <c r="AK63" s="49"/>
    </row>
    <row r="64" spans="1:41" x14ac:dyDescent="0.25">
      <c r="A64" s="53" t="s">
        <v>68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1.6</v>
      </c>
      <c r="O64" s="65">
        <v>1.6</v>
      </c>
      <c r="P64" s="65">
        <v>1.6</v>
      </c>
      <c r="Q64" s="65">
        <v>1.6</v>
      </c>
      <c r="R64" s="65">
        <v>1.6</v>
      </c>
      <c r="S64" s="65">
        <v>1.6</v>
      </c>
      <c r="T64" s="65">
        <v>1.6</v>
      </c>
      <c r="U64" s="65">
        <v>1.6</v>
      </c>
      <c r="V64" s="65">
        <v>1.6</v>
      </c>
      <c r="W64" s="65">
        <v>1.6</v>
      </c>
      <c r="X64" s="65">
        <v>1.6</v>
      </c>
      <c r="Y64" s="65">
        <v>1.6</v>
      </c>
      <c r="Z64" s="65">
        <v>1.6</v>
      </c>
      <c r="AA64" s="65">
        <v>1.6</v>
      </c>
      <c r="AB64" s="65">
        <v>1.6</v>
      </c>
      <c r="AC64" s="65">
        <v>1.6</v>
      </c>
      <c r="AD64" s="65">
        <v>1.6</v>
      </c>
      <c r="AE64" s="65">
        <v>1.6</v>
      </c>
      <c r="AF64" s="65">
        <v>1.6</v>
      </c>
      <c r="AG64" s="54">
        <v>6.2</v>
      </c>
      <c r="AH64" s="47">
        <f t="shared" si="2"/>
        <v>1.6</v>
      </c>
      <c r="AI64" s="48">
        <f t="shared" si="3"/>
        <v>1.5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" si="8">SUM(B53:B65)</f>
        <v>95.24</v>
      </c>
      <c r="C66" s="60">
        <f t="shared" ref="C66:AG66" si="9">SUM(C53:C65)</f>
        <v>78.239999999999995</v>
      </c>
      <c r="D66" s="60">
        <f t="shared" si="9"/>
        <v>78.239999999999995</v>
      </c>
      <c r="E66" s="60">
        <f t="shared" si="9"/>
        <v>78.239999999999995</v>
      </c>
      <c r="F66" s="60">
        <f t="shared" si="9"/>
        <v>78.239999999999995</v>
      </c>
      <c r="G66" s="60">
        <f t="shared" si="9"/>
        <v>78.239999999999995</v>
      </c>
      <c r="H66" s="60">
        <f t="shared" si="9"/>
        <v>134.94</v>
      </c>
      <c r="I66" s="60">
        <f t="shared" si="9"/>
        <v>175.73999999999998</v>
      </c>
      <c r="J66" s="60">
        <f t="shared" si="9"/>
        <v>234.43999999999997</v>
      </c>
      <c r="K66" s="60">
        <f t="shared" si="9"/>
        <v>237.13999999999996</v>
      </c>
      <c r="L66" s="60">
        <f t="shared" si="9"/>
        <v>257.14</v>
      </c>
      <c r="M66" s="60">
        <f t="shared" si="9"/>
        <v>257.14</v>
      </c>
      <c r="N66" s="60">
        <f t="shared" si="9"/>
        <v>203.33999999999997</v>
      </c>
      <c r="O66" s="60">
        <f t="shared" si="9"/>
        <v>196.73999999999998</v>
      </c>
      <c r="P66" s="60">
        <f t="shared" si="9"/>
        <v>220.64</v>
      </c>
      <c r="Q66" s="60">
        <f t="shared" si="9"/>
        <v>216.63999999999996</v>
      </c>
      <c r="R66" s="60">
        <f t="shared" si="9"/>
        <v>225.03999999999996</v>
      </c>
      <c r="S66" s="60">
        <f t="shared" si="9"/>
        <v>225.13999999999996</v>
      </c>
      <c r="T66" s="60">
        <f t="shared" si="9"/>
        <v>222.13999999999996</v>
      </c>
      <c r="U66" s="60">
        <f t="shared" si="9"/>
        <v>193.13999999999996</v>
      </c>
      <c r="V66" s="60">
        <f t="shared" si="9"/>
        <v>192.63999999999996</v>
      </c>
      <c r="W66" s="60">
        <f t="shared" si="9"/>
        <v>193.93999999999997</v>
      </c>
      <c r="X66" s="60">
        <f t="shared" si="9"/>
        <v>203.53999999999996</v>
      </c>
      <c r="Y66" s="60">
        <f t="shared" si="9"/>
        <v>312.54000000000008</v>
      </c>
      <c r="Z66" s="60">
        <f t="shared" si="9"/>
        <v>294.04000000000008</v>
      </c>
      <c r="AA66" s="60">
        <f t="shared" si="9"/>
        <v>258.53999999999996</v>
      </c>
      <c r="AB66" s="60">
        <f t="shared" si="9"/>
        <v>234.93999999999997</v>
      </c>
      <c r="AC66" s="60">
        <f t="shared" si="9"/>
        <v>196.63999999999996</v>
      </c>
      <c r="AD66" s="60">
        <f t="shared" si="9"/>
        <v>196.63999999999996</v>
      </c>
      <c r="AE66" s="60">
        <f t="shared" si="9"/>
        <v>180.93999999999997</v>
      </c>
      <c r="AF66" s="60">
        <f t="shared" si="9"/>
        <v>130.94</v>
      </c>
      <c r="AG66" s="61">
        <f t="shared" si="9"/>
        <v>489.91</v>
      </c>
      <c r="AH66" s="47">
        <f t="shared" si="2"/>
        <v>312.54000000000008</v>
      </c>
      <c r="AI66" s="48">
        <f t="shared" si="3"/>
        <v>78.239999999999995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20</v>
      </c>
      <c r="L67" s="45">
        <v>30</v>
      </c>
      <c r="M67" s="45">
        <v>30</v>
      </c>
      <c r="N67" s="45">
        <v>30</v>
      </c>
      <c r="O67" s="45">
        <v>30</v>
      </c>
      <c r="P67" s="45">
        <v>30</v>
      </c>
      <c r="Q67" s="45">
        <v>25</v>
      </c>
      <c r="R67" s="45">
        <v>20</v>
      </c>
      <c r="S67" s="45">
        <v>30</v>
      </c>
      <c r="T67" s="45">
        <v>50</v>
      </c>
      <c r="U67" s="45">
        <v>60</v>
      </c>
      <c r="V67" s="45">
        <v>40</v>
      </c>
      <c r="W67" s="45">
        <v>40</v>
      </c>
      <c r="X67" s="45">
        <v>40</v>
      </c>
      <c r="Y67" s="45">
        <v>30</v>
      </c>
      <c r="Z67" s="45">
        <v>40</v>
      </c>
      <c r="AA67" s="45">
        <v>40</v>
      </c>
      <c r="AB67" s="45">
        <v>40</v>
      </c>
      <c r="AC67" s="45">
        <v>30</v>
      </c>
      <c r="AD67" s="45">
        <v>10</v>
      </c>
      <c r="AE67" s="45">
        <v>14</v>
      </c>
      <c r="AF67" s="45">
        <v>14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65">
        <v>0</v>
      </c>
      <c r="K68" s="65">
        <v>5</v>
      </c>
      <c r="L68" s="65">
        <v>14.4</v>
      </c>
      <c r="M68" s="65">
        <v>14.4</v>
      </c>
      <c r="N68" s="65">
        <v>14.1</v>
      </c>
      <c r="O68" s="65">
        <v>14.2</v>
      </c>
      <c r="P68" s="65">
        <v>14.2</v>
      </c>
      <c r="Q68" s="45">
        <v>14</v>
      </c>
      <c r="R68" s="45">
        <v>14</v>
      </c>
      <c r="S68" s="65">
        <v>14.1</v>
      </c>
      <c r="T68" s="65">
        <v>23.4</v>
      </c>
      <c r="U68" s="65">
        <v>28.5</v>
      </c>
      <c r="V68" s="65">
        <v>15.4</v>
      </c>
      <c r="W68" s="65">
        <v>16</v>
      </c>
      <c r="X68" s="65">
        <v>16</v>
      </c>
      <c r="Y68" s="65">
        <v>15</v>
      </c>
      <c r="Z68" s="65">
        <v>31</v>
      </c>
      <c r="AA68" s="65">
        <v>15</v>
      </c>
      <c r="AB68" s="65">
        <v>15</v>
      </c>
      <c r="AC68" s="65">
        <v>14</v>
      </c>
      <c r="AD68" s="65">
        <v>6.7</v>
      </c>
      <c r="AE68" s="65">
        <v>9.6</v>
      </c>
      <c r="AF68" s="65">
        <v>9.6</v>
      </c>
      <c r="AG68" s="54">
        <v>32</v>
      </c>
      <c r="AH68" s="47">
        <f t="shared" si="2"/>
        <v>31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67">
        <v>0</v>
      </c>
      <c r="K69" s="67">
        <v>1.8</v>
      </c>
      <c r="L69" s="67">
        <v>5.3</v>
      </c>
      <c r="M69" s="67">
        <v>5.3</v>
      </c>
      <c r="N69" s="67">
        <v>5.0999999999999996</v>
      </c>
      <c r="O69" s="67">
        <v>5.2</v>
      </c>
      <c r="P69" s="67">
        <v>5.2</v>
      </c>
      <c r="Q69" s="45">
        <v>5.2</v>
      </c>
      <c r="R69" s="45">
        <v>5.2</v>
      </c>
      <c r="S69" s="67">
        <v>5.0999999999999996</v>
      </c>
      <c r="T69" s="67">
        <v>8.6</v>
      </c>
      <c r="U69" s="67">
        <v>10.4</v>
      </c>
      <c r="V69" s="67">
        <v>5.6</v>
      </c>
      <c r="W69" s="67">
        <v>5.9</v>
      </c>
      <c r="X69" s="67">
        <v>5.9</v>
      </c>
      <c r="Y69" s="67">
        <v>5.4</v>
      </c>
      <c r="Z69" s="67">
        <v>11.4</v>
      </c>
      <c r="AA69" s="67">
        <v>5.3</v>
      </c>
      <c r="AB69" s="67">
        <v>5.3</v>
      </c>
      <c r="AC69" s="67">
        <v>5.0999999999999996</v>
      </c>
      <c r="AD69" s="67">
        <v>2.5</v>
      </c>
      <c r="AE69" s="67">
        <v>3.5</v>
      </c>
      <c r="AF69" s="67">
        <v>3.5</v>
      </c>
      <c r="AG69" s="68">
        <v>14</v>
      </c>
      <c r="AH69" s="47">
        <f t="shared" si="2"/>
        <v>11.4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0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49.699999999999996</v>
      </c>
      <c r="M70" s="60">
        <f t="shared" ref="M70:AF70" si="11">M67+M68+M69</f>
        <v>49.699999999999996</v>
      </c>
      <c r="N70" s="60">
        <f t="shared" si="11"/>
        <v>49.2</v>
      </c>
      <c r="O70" s="60">
        <f t="shared" si="11"/>
        <v>49.400000000000006</v>
      </c>
      <c r="P70" s="60">
        <f t="shared" si="11"/>
        <v>49.400000000000006</v>
      </c>
      <c r="Q70" s="60">
        <f t="shared" si="11"/>
        <v>44.2</v>
      </c>
      <c r="R70" s="60">
        <f t="shared" si="11"/>
        <v>39.200000000000003</v>
      </c>
      <c r="S70" s="60">
        <f t="shared" si="11"/>
        <v>49.2</v>
      </c>
      <c r="T70" s="60">
        <f t="shared" si="11"/>
        <v>82</v>
      </c>
      <c r="U70" s="60">
        <f t="shared" si="11"/>
        <v>98.9</v>
      </c>
      <c r="V70" s="60">
        <f t="shared" si="11"/>
        <v>61</v>
      </c>
      <c r="W70" s="60">
        <f t="shared" si="11"/>
        <v>61.9</v>
      </c>
      <c r="X70" s="60">
        <f t="shared" si="11"/>
        <v>61.9</v>
      </c>
      <c r="Y70" s="60">
        <v>50.4</v>
      </c>
      <c r="Z70" s="60">
        <f t="shared" si="11"/>
        <v>82.4</v>
      </c>
      <c r="AA70" s="60">
        <f t="shared" si="11"/>
        <v>60.3</v>
      </c>
      <c r="AB70" s="60">
        <f t="shared" si="11"/>
        <v>60.3</v>
      </c>
      <c r="AC70" s="60">
        <f t="shared" si="11"/>
        <v>49.1</v>
      </c>
      <c r="AD70" s="60">
        <f t="shared" si="11"/>
        <v>19.2</v>
      </c>
      <c r="AE70" s="60">
        <f t="shared" si="11"/>
        <v>27.1</v>
      </c>
      <c r="AF70" s="60">
        <f t="shared" si="11"/>
        <v>27.1</v>
      </c>
      <c r="AG70" s="61">
        <f>SUM(AG67:AG69)</f>
        <v>106</v>
      </c>
      <c r="AH70" s="47">
        <f t="shared" si="2"/>
        <v>98.9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69</v>
      </c>
      <c r="C71" s="45">
        <v>65</v>
      </c>
      <c r="D71" s="45">
        <v>60</v>
      </c>
      <c r="E71" s="45">
        <v>60.9</v>
      </c>
      <c r="F71" s="45">
        <v>61.7</v>
      </c>
      <c r="G71" s="45">
        <v>60.1</v>
      </c>
      <c r="H71" s="45">
        <v>70.2</v>
      </c>
      <c r="I71" s="45">
        <v>74.099999999999994</v>
      </c>
      <c r="J71" s="45">
        <v>65.599999999999994</v>
      </c>
      <c r="K71" s="45">
        <v>97.1</v>
      </c>
      <c r="L71" s="45">
        <v>68.5</v>
      </c>
      <c r="M71" s="45">
        <v>68.3</v>
      </c>
      <c r="N71" s="45">
        <v>59.9</v>
      </c>
      <c r="O71" s="45">
        <v>65.8</v>
      </c>
      <c r="P71" s="45">
        <v>65.3</v>
      </c>
      <c r="Q71" s="45">
        <v>70</v>
      </c>
      <c r="R71" s="45">
        <v>68</v>
      </c>
      <c r="S71" s="45">
        <v>59</v>
      </c>
      <c r="T71" s="45">
        <v>66.400000000000006</v>
      </c>
      <c r="U71" s="45">
        <v>66.8</v>
      </c>
      <c r="V71" s="45">
        <v>70</v>
      </c>
      <c r="W71" s="45">
        <v>65.900000000000006</v>
      </c>
      <c r="X71" s="45">
        <v>62</v>
      </c>
      <c r="Y71" s="45">
        <v>70</v>
      </c>
      <c r="Z71" s="45">
        <v>64</v>
      </c>
      <c r="AA71" s="45">
        <v>60</v>
      </c>
      <c r="AB71" s="45">
        <v>61</v>
      </c>
      <c r="AC71" s="45">
        <v>62.3</v>
      </c>
      <c r="AD71" s="45">
        <v>71.400000000000006</v>
      </c>
      <c r="AE71" s="45">
        <v>61</v>
      </c>
      <c r="AF71" s="45">
        <v>64</v>
      </c>
      <c r="AG71" s="51"/>
      <c r="AH71" s="47">
        <f t="shared" si="2"/>
        <v>97.1</v>
      </c>
      <c r="AI71" s="48">
        <f t="shared" si="3"/>
        <v>59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27.2</v>
      </c>
      <c r="F72" s="65">
        <v>25</v>
      </c>
      <c r="G72" s="65">
        <v>23.5</v>
      </c>
      <c r="H72" s="65">
        <v>24.2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27.2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274</v>
      </c>
      <c r="C73" s="65">
        <v>303.39999999999998</v>
      </c>
      <c r="D73" s="65">
        <v>310</v>
      </c>
      <c r="E73" s="65">
        <v>286.3</v>
      </c>
      <c r="F73" s="65">
        <v>302</v>
      </c>
      <c r="G73" s="65">
        <v>335</v>
      </c>
      <c r="H73" s="65">
        <v>323</v>
      </c>
      <c r="I73" s="65">
        <v>337.5</v>
      </c>
      <c r="J73" s="65">
        <v>350</v>
      </c>
      <c r="K73" s="65">
        <v>353.2</v>
      </c>
      <c r="L73" s="65">
        <v>314.5</v>
      </c>
      <c r="M73" s="65">
        <v>352.9</v>
      </c>
      <c r="N73" s="65">
        <v>336</v>
      </c>
      <c r="O73" s="65">
        <v>344</v>
      </c>
      <c r="P73" s="65">
        <v>345.6</v>
      </c>
      <c r="Q73" s="65">
        <v>353</v>
      </c>
      <c r="R73" s="65">
        <v>336.9</v>
      </c>
      <c r="S73" s="65">
        <v>349</v>
      </c>
      <c r="T73" s="65">
        <v>337</v>
      </c>
      <c r="U73" s="65">
        <v>353</v>
      </c>
      <c r="V73" s="65">
        <v>388</v>
      </c>
      <c r="W73" s="65">
        <v>350</v>
      </c>
      <c r="X73" s="65">
        <v>350</v>
      </c>
      <c r="Y73" s="65">
        <v>358</v>
      </c>
      <c r="Z73" s="65">
        <v>358</v>
      </c>
      <c r="AA73" s="65">
        <v>358</v>
      </c>
      <c r="AB73" s="65">
        <v>326</v>
      </c>
      <c r="AC73" s="65">
        <v>326</v>
      </c>
      <c r="AD73" s="65">
        <v>330</v>
      </c>
      <c r="AE73" s="65">
        <v>339</v>
      </c>
      <c r="AF73" s="65">
        <v>316</v>
      </c>
      <c r="AG73" s="75"/>
      <c r="AH73" s="47">
        <f t="shared" si="2"/>
        <v>388</v>
      </c>
      <c r="AI73" s="48">
        <f t="shared" si="3"/>
        <v>274</v>
      </c>
      <c r="AK73" s="49"/>
    </row>
    <row r="74" spans="1:40" x14ac:dyDescent="0.25">
      <c r="A74" s="53" t="s">
        <v>78</v>
      </c>
      <c r="B74" s="65">
        <v>55</v>
      </c>
      <c r="C74" s="65">
        <v>55</v>
      </c>
      <c r="D74" s="76">
        <v>64.900000000000006</v>
      </c>
      <c r="E74" s="76">
        <v>62.6</v>
      </c>
      <c r="F74" s="76">
        <v>62.6</v>
      </c>
      <c r="G74" s="76">
        <v>66.8</v>
      </c>
      <c r="H74" s="76">
        <v>67.8</v>
      </c>
      <c r="I74" s="76">
        <v>65</v>
      </c>
      <c r="J74" s="76">
        <v>53</v>
      </c>
      <c r="K74" s="76">
        <v>60</v>
      </c>
      <c r="L74" s="76">
        <v>62</v>
      </c>
      <c r="M74" s="76">
        <v>59</v>
      </c>
      <c r="N74" s="76">
        <v>63.5</v>
      </c>
      <c r="O74" s="76">
        <v>61.6</v>
      </c>
      <c r="P74" s="76">
        <v>67</v>
      </c>
      <c r="Q74" s="76">
        <v>65</v>
      </c>
      <c r="R74" s="76">
        <v>62.5</v>
      </c>
      <c r="S74" s="76">
        <v>65</v>
      </c>
      <c r="T74" s="76">
        <v>65</v>
      </c>
      <c r="U74" s="76">
        <v>65</v>
      </c>
      <c r="V74" s="76">
        <v>61.2</v>
      </c>
      <c r="W74" s="76">
        <v>61.3</v>
      </c>
      <c r="X74" s="76">
        <v>61.3</v>
      </c>
      <c r="Y74" s="65">
        <v>61.3</v>
      </c>
      <c r="Z74" s="65">
        <v>65.400000000000006</v>
      </c>
      <c r="AA74" s="65">
        <v>65.400000000000006</v>
      </c>
      <c r="AB74" s="65">
        <v>65.400000000000006</v>
      </c>
      <c r="AC74" s="65">
        <v>57</v>
      </c>
      <c r="AD74" s="65">
        <v>54</v>
      </c>
      <c r="AE74" s="65">
        <v>58</v>
      </c>
      <c r="AF74" s="65">
        <v>53</v>
      </c>
      <c r="AG74" s="75"/>
      <c r="AH74" s="47">
        <f t="shared" si="2"/>
        <v>67.8</v>
      </c>
      <c r="AI74" s="48">
        <f t="shared" si="3"/>
        <v>53</v>
      </c>
      <c r="AK74" s="49"/>
    </row>
    <row r="75" spans="1:40" x14ac:dyDescent="0.25">
      <c r="A75" s="53" t="s">
        <v>79</v>
      </c>
      <c r="B75" s="45">
        <v>80.599999999999994</v>
      </c>
      <c r="C75" s="45">
        <v>80.599999999999994</v>
      </c>
      <c r="D75" s="45">
        <v>82.5</v>
      </c>
      <c r="E75" s="45">
        <v>89.1</v>
      </c>
      <c r="F75" s="45">
        <v>81.7</v>
      </c>
      <c r="G75" s="45">
        <v>72.7</v>
      </c>
      <c r="H75" s="45">
        <v>61.8</v>
      </c>
      <c r="I75" s="45">
        <v>61</v>
      </c>
      <c r="J75" s="45">
        <v>60</v>
      </c>
      <c r="K75" s="45">
        <v>42</v>
      </c>
      <c r="L75" s="45">
        <v>45</v>
      </c>
      <c r="M75" s="45">
        <v>45</v>
      </c>
      <c r="N75" s="45">
        <v>0</v>
      </c>
      <c r="O75" s="45">
        <v>78.599999999999994</v>
      </c>
      <c r="P75" s="45">
        <v>69</v>
      </c>
      <c r="Q75" s="45">
        <v>77.5</v>
      </c>
      <c r="R75" s="45">
        <v>74.900000000000006</v>
      </c>
      <c r="S75" s="45">
        <v>83</v>
      </c>
      <c r="T75" s="45">
        <v>83.1</v>
      </c>
      <c r="U75" s="45">
        <v>88.5</v>
      </c>
      <c r="V75" s="45">
        <v>88.5</v>
      </c>
      <c r="W75" s="45">
        <v>72.900000000000006</v>
      </c>
      <c r="X75" s="45">
        <v>72.900000000000006</v>
      </c>
      <c r="Y75" s="45">
        <v>83</v>
      </c>
      <c r="Z75" s="45">
        <v>68.3</v>
      </c>
      <c r="AA75" s="45">
        <v>68.3</v>
      </c>
      <c r="AB75" s="45">
        <v>68.3</v>
      </c>
      <c r="AC75" s="45">
        <v>84</v>
      </c>
      <c r="AD75" s="45">
        <v>21</v>
      </c>
      <c r="AE75" s="45">
        <v>73</v>
      </c>
      <c r="AF75" s="45">
        <v>82</v>
      </c>
      <c r="AG75" s="75"/>
      <c r="AH75" s="47">
        <f t="shared" ref="AH75:AH117" si="12">MAX(B75:AF75)</f>
        <v>89.1</v>
      </c>
      <c r="AI75" s="48">
        <f t="shared" ref="AI75:AI117" si="13">MIN(B75:AF75)</f>
        <v>0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2"/>
        <v>5</v>
      </c>
      <c r="AI76" s="48">
        <f t="shared" si="13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2"/>
        <v>0</v>
      </c>
      <c r="AI77" s="48">
        <f t="shared" si="13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2"/>
        <v>0</v>
      </c>
      <c r="AI78" s="48">
        <f t="shared" si="13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2"/>
        <v>0</v>
      </c>
      <c r="AI80" s="48">
        <f t="shared" si="13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2"/>
        <v>0</v>
      </c>
      <c r="AI81" s="48">
        <f t="shared" si="13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14">SUMIF(B71:B81,"&gt;0")</f>
        <v>483.6</v>
      </c>
      <c r="C82" s="60">
        <f t="shared" ref="C82:AF82" si="15">SUMIF(C71:C81,"&gt;0")</f>
        <v>509</v>
      </c>
      <c r="D82" s="60">
        <f t="shared" si="15"/>
        <v>522.4</v>
      </c>
      <c r="E82" s="60">
        <f t="shared" si="15"/>
        <v>531.1</v>
      </c>
      <c r="F82" s="60">
        <f t="shared" si="15"/>
        <v>538</v>
      </c>
      <c r="G82" s="60">
        <f t="shared" si="15"/>
        <v>563.1</v>
      </c>
      <c r="H82" s="60">
        <f t="shared" si="15"/>
        <v>552</v>
      </c>
      <c r="I82" s="60">
        <f t="shared" si="15"/>
        <v>542.6</v>
      </c>
      <c r="J82" s="60">
        <f t="shared" si="15"/>
        <v>533.6</v>
      </c>
      <c r="K82" s="60">
        <f t="shared" si="15"/>
        <v>557.29999999999995</v>
      </c>
      <c r="L82" s="60">
        <f t="shared" si="15"/>
        <v>495</v>
      </c>
      <c r="M82" s="60">
        <f t="shared" si="15"/>
        <v>530.20000000000005</v>
      </c>
      <c r="N82" s="60">
        <f t="shared" si="15"/>
        <v>464.4</v>
      </c>
      <c r="O82" s="60">
        <f t="shared" si="15"/>
        <v>555</v>
      </c>
      <c r="P82" s="60">
        <f t="shared" si="15"/>
        <v>551.90000000000009</v>
      </c>
      <c r="Q82" s="60">
        <f t="shared" si="15"/>
        <v>570.5</v>
      </c>
      <c r="R82" s="60">
        <f t="shared" si="15"/>
        <v>547.29999999999995</v>
      </c>
      <c r="S82" s="60">
        <f t="shared" si="15"/>
        <v>561</v>
      </c>
      <c r="T82" s="60">
        <f t="shared" si="15"/>
        <v>556.5</v>
      </c>
      <c r="U82" s="60">
        <f t="shared" si="15"/>
        <v>578.29999999999995</v>
      </c>
      <c r="V82" s="60">
        <f t="shared" si="15"/>
        <v>612.70000000000005</v>
      </c>
      <c r="W82" s="60">
        <f t="shared" si="15"/>
        <v>555.1</v>
      </c>
      <c r="X82" s="60">
        <f t="shared" si="15"/>
        <v>551.20000000000005</v>
      </c>
      <c r="Y82" s="60">
        <v>577.29999999999995</v>
      </c>
      <c r="Z82" s="60">
        <f t="shared" si="15"/>
        <v>560.69999999999993</v>
      </c>
      <c r="AA82" s="60">
        <f t="shared" si="15"/>
        <v>556.69999999999993</v>
      </c>
      <c r="AB82" s="60">
        <f t="shared" si="15"/>
        <v>525.69999999999993</v>
      </c>
      <c r="AC82" s="60">
        <f t="shared" si="15"/>
        <v>534.29999999999995</v>
      </c>
      <c r="AD82" s="60">
        <f t="shared" si="15"/>
        <v>481.4</v>
      </c>
      <c r="AE82" s="60">
        <f t="shared" si="15"/>
        <v>536</v>
      </c>
      <c r="AF82" s="60">
        <f t="shared" si="15"/>
        <v>520</v>
      </c>
      <c r="AG82" s="88">
        <f>SUM(AG71:AG81)</f>
        <v>0</v>
      </c>
      <c r="AH82" s="47">
        <f t="shared" si="12"/>
        <v>612.70000000000005</v>
      </c>
      <c r="AI82" s="48">
        <f t="shared" si="13"/>
        <v>464.4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2"/>
        <v>0</v>
      </c>
      <c r="AI83" s="48">
        <f t="shared" si="13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2"/>
        <v>0</v>
      </c>
      <c r="AI84" s="48">
        <f t="shared" si="13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2"/>
        <v>0</v>
      </c>
      <c r="AI85" s="48">
        <f t="shared" si="13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2"/>
        <v>0</v>
      </c>
      <c r="AI86" s="48">
        <f t="shared" si="13"/>
        <v>0</v>
      </c>
    </row>
    <row r="87" spans="1:40" ht="15.75" thickBot="1" x14ac:dyDescent="0.3">
      <c r="A87" s="74" t="s">
        <v>94</v>
      </c>
      <c r="B87" s="95">
        <f t="shared" ref="B87" si="16">B48+B52+B70+B66+B82+B86</f>
        <v>1040.8399999999999</v>
      </c>
      <c r="C87" s="95">
        <f t="shared" ref="C87:AG87" si="17">C48+C52+C70+C66+C82+C86</f>
        <v>1019.24</v>
      </c>
      <c r="D87" s="95">
        <f t="shared" si="17"/>
        <v>987.63999999999987</v>
      </c>
      <c r="E87" s="95">
        <f t="shared" si="17"/>
        <v>996.33999999999992</v>
      </c>
      <c r="F87" s="95">
        <f t="shared" si="17"/>
        <v>1003.24</v>
      </c>
      <c r="G87" s="95">
        <f t="shared" si="17"/>
        <v>1028.3399999999999</v>
      </c>
      <c r="H87" s="95">
        <f t="shared" si="17"/>
        <v>1073.94</v>
      </c>
      <c r="I87" s="95">
        <f t="shared" si="17"/>
        <v>1120.3399999999999</v>
      </c>
      <c r="J87" s="95">
        <f t="shared" si="17"/>
        <v>1200.04</v>
      </c>
      <c r="K87" s="95">
        <f t="shared" si="17"/>
        <v>1226.4399999999998</v>
      </c>
      <c r="L87" s="95">
        <f t="shared" si="17"/>
        <v>1288.8399999999999</v>
      </c>
      <c r="M87" s="95">
        <f t="shared" si="17"/>
        <v>1304.04</v>
      </c>
      <c r="N87" s="95">
        <f t="shared" si="17"/>
        <v>1192.6399999999999</v>
      </c>
      <c r="O87" s="95">
        <f t="shared" si="17"/>
        <v>1266.8400000000001</v>
      </c>
      <c r="P87" s="95">
        <f t="shared" si="17"/>
        <v>1287.2400000000002</v>
      </c>
      <c r="Q87" s="95">
        <f t="shared" si="17"/>
        <v>1316.74</v>
      </c>
      <c r="R87" s="95">
        <f t="shared" si="17"/>
        <v>1296.94</v>
      </c>
      <c r="S87" s="95">
        <f t="shared" si="17"/>
        <v>1320.74</v>
      </c>
      <c r="T87" s="95">
        <f t="shared" si="17"/>
        <v>1375.7399999999998</v>
      </c>
      <c r="U87" s="95">
        <f t="shared" si="17"/>
        <v>1370.44</v>
      </c>
      <c r="V87" s="95">
        <f t="shared" si="17"/>
        <v>1306.44</v>
      </c>
      <c r="W87" s="95">
        <f t="shared" si="17"/>
        <v>1261.04</v>
      </c>
      <c r="X87" s="95">
        <f t="shared" si="17"/>
        <v>1296.74</v>
      </c>
      <c r="Y87" s="95">
        <v>1471.1399999999999</v>
      </c>
      <c r="Z87" s="95">
        <f t="shared" si="17"/>
        <v>1449.04</v>
      </c>
      <c r="AA87" s="95">
        <f t="shared" si="17"/>
        <v>1387.4399999999998</v>
      </c>
      <c r="AB87" s="95">
        <f t="shared" si="17"/>
        <v>1301.8399999999997</v>
      </c>
      <c r="AC87" s="95">
        <f t="shared" si="17"/>
        <v>1240.94</v>
      </c>
      <c r="AD87" s="95">
        <f t="shared" si="17"/>
        <v>1118.1399999999999</v>
      </c>
      <c r="AE87" s="95">
        <f t="shared" si="17"/>
        <v>1164.94</v>
      </c>
      <c r="AF87" s="95">
        <f t="shared" si="17"/>
        <v>1078.94</v>
      </c>
      <c r="AG87" s="61">
        <f t="shared" si="17"/>
        <v>2065.09</v>
      </c>
      <c r="AH87" s="47">
        <f>MAX(B87:AF87)</f>
        <v>1471.1399999999999</v>
      </c>
      <c r="AI87" s="48">
        <f>MIN(B87:AF87)</f>
        <v>987.63999999999987</v>
      </c>
    </row>
    <row r="88" spans="1:40" ht="16.5" thickBot="1" x14ac:dyDescent="0.3">
      <c r="A88" s="192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>
        <v>100</v>
      </c>
      <c r="L88" s="97">
        <v>100</v>
      </c>
      <c r="M88" s="97">
        <v>120</v>
      </c>
      <c r="N88" s="97">
        <v>125</v>
      </c>
      <c r="O88" s="97">
        <v>80</v>
      </c>
      <c r="P88" s="97">
        <v>50</v>
      </c>
      <c r="Q88" s="97"/>
      <c r="R88" s="97"/>
      <c r="S88" s="97"/>
      <c r="T88" s="97"/>
      <c r="U88" s="97"/>
      <c r="V88" s="97"/>
      <c r="W88" s="97">
        <v>100</v>
      </c>
      <c r="X88" s="97">
        <v>100</v>
      </c>
      <c r="Y88" s="97">
        <v>100</v>
      </c>
      <c r="Z88" s="97">
        <v>100</v>
      </c>
      <c r="AA88" s="97">
        <v>100</v>
      </c>
      <c r="AB88" s="97">
        <v>100</v>
      </c>
      <c r="AC88" s="97">
        <v>100</v>
      </c>
      <c r="AD88" s="97">
        <v>100</v>
      </c>
      <c r="AE88" s="97"/>
      <c r="AF88" s="97"/>
      <c r="AG88" s="88"/>
      <c r="AH88" s="47">
        <f t="shared" si="12"/>
        <v>125</v>
      </c>
      <c r="AI88" s="48">
        <f t="shared" si="13"/>
        <v>50</v>
      </c>
    </row>
    <row r="89" spans="1:40" ht="15.75" thickBot="1" x14ac:dyDescent="0.3">
      <c r="A89" s="74" t="s">
        <v>96</v>
      </c>
      <c r="B89" s="95">
        <f t="shared" ref="B89" si="18">B87+B88</f>
        <v>1040.8399999999999</v>
      </c>
      <c r="C89" s="95">
        <f t="shared" ref="C89:AF89" si="19">C87+C88</f>
        <v>1019.24</v>
      </c>
      <c r="D89" s="95">
        <f t="shared" si="19"/>
        <v>987.63999999999987</v>
      </c>
      <c r="E89" s="95">
        <f t="shared" si="19"/>
        <v>996.33999999999992</v>
      </c>
      <c r="F89" s="95">
        <f t="shared" si="19"/>
        <v>1003.24</v>
      </c>
      <c r="G89" s="95">
        <f t="shared" si="19"/>
        <v>1028.3399999999999</v>
      </c>
      <c r="H89" s="95">
        <f t="shared" si="19"/>
        <v>1073.94</v>
      </c>
      <c r="I89" s="95">
        <f t="shared" si="19"/>
        <v>1120.3399999999999</v>
      </c>
      <c r="J89" s="95">
        <f t="shared" si="19"/>
        <v>1200.04</v>
      </c>
      <c r="K89" s="95">
        <f t="shared" si="19"/>
        <v>1326.4399999999998</v>
      </c>
      <c r="L89" s="95">
        <f t="shared" si="19"/>
        <v>1388.84</v>
      </c>
      <c r="M89" s="95">
        <f t="shared" si="19"/>
        <v>1424.04</v>
      </c>
      <c r="N89" s="95">
        <f t="shared" si="19"/>
        <v>1317.6399999999999</v>
      </c>
      <c r="O89" s="95">
        <f t="shared" si="19"/>
        <v>1346.8400000000001</v>
      </c>
      <c r="P89" s="95">
        <f t="shared" si="19"/>
        <v>1337.2400000000002</v>
      </c>
      <c r="Q89" s="95">
        <f t="shared" si="19"/>
        <v>1316.74</v>
      </c>
      <c r="R89" s="95">
        <f t="shared" si="19"/>
        <v>1296.94</v>
      </c>
      <c r="S89" s="95">
        <f t="shared" si="19"/>
        <v>1320.74</v>
      </c>
      <c r="T89" s="95">
        <f t="shared" si="19"/>
        <v>1375.7399999999998</v>
      </c>
      <c r="U89" s="95">
        <f t="shared" si="19"/>
        <v>1370.44</v>
      </c>
      <c r="V89" s="95">
        <f t="shared" si="19"/>
        <v>1306.44</v>
      </c>
      <c r="W89" s="95">
        <f t="shared" si="19"/>
        <v>1361.04</v>
      </c>
      <c r="X89" s="95">
        <f t="shared" si="19"/>
        <v>1396.74</v>
      </c>
      <c r="Y89" s="95">
        <v>1571.1399999999999</v>
      </c>
      <c r="Z89" s="95">
        <f t="shared" si="19"/>
        <v>1549.04</v>
      </c>
      <c r="AA89" s="95">
        <f t="shared" si="19"/>
        <v>1487.4399999999998</v>
      </c>
      <c r="AB89" s="95">
        <f t="shared" si="19"/>
        <v>1401.8399999999997</v>
      </c>
      <c r="AC89" s="95">
        <f t="shared" si="19"/>
        <v>1340.94</v>
      </c>
      <c r="AD89" s="95">
        <f t="shared" si="19"/>
        <v>1218.1399999999999</v>
      </c>
      <c r="AE89" s="95">
        <f t="shared" si="19"/>
        <v>1164.94</v>
      </c>
      <c r="AF89" s="95">
        <f t="shared" si="19"/>
        <v>1078.94</v>
      </c>
      <c r="AG89" s="88">
        <f>AG86+AG82+AG70+AG66+AG48+AG88</f>
        <v>1526.99</v>
      </c>
      <c r="AH89" s="47">
        <f t="shared" si="12"/>
        <v>1571.1399999999999</v>
      </c>
      <c r="AI89" s="48">
        <f t="shared" si="13"/>
        <v>987.63999999999987</v>
      </c>
    </row>
    <row r="90" spans="1:40" ht="15.75" thickBot="1" x14ac:dyDescent="0.3">
      <c r="A90" s="74" t="s">
        <v>97</v>
      </c>
      <c r="B90" s="95">
        <f t="shared" ref="B90" si="20">B89-B97</f>
        <v>1040.8399999999999</v>
      </c>
      <c r="C90" s="95">
        <f t="shared" ref="C90:AF90" si="21">C89-C97</f>
        <v>1019.24</v>
      </c>
      <c r="D90" s="95">
        <f t="shared" si="21"/>
        <v>987.63999999999987</v>
      </c>
      <c r="E90" s="95">
        <f t="shared" si="21"/>
        <v>996.33999999999992</v>
      </c>
      <c r="F90" s="95">
        <f t="shared" si="21"/>
        <v>1003.24</v>
      </c>
      <c r="G90" s="95">
        <f t="shared" si="21"/>
        <v>1028.3399999999999</v>
      </c>
      <c r="H90" s="95">
        <f t="shared" si="21"/>
        <v>1073.94</v>
      </c>
      <c r="I90" s="95">
        <f t="shared" si="21"/>
        <v>1120.3399999999999</v>
      </c>
      <c r="J90" s="95">
        <f t="shared" si="21"/>
        <v>1200.04</v>
      </c>
      <c r="K90" s="95">
        <f t="shared" si="21"/>
        <v>1326.4399999999998</v>
      </c>
      <c r="L90" s="95">
        <f t="shared" si="21"/>
        <v>1388.84</v>
      </c>
      <c r="M90" s="95">
        <f t="shared" si="21"/>
        <v>1424.04</v>
      </c>
      <c r="N90" s="95">
        <f t="shared" si="21"/>
        <v>1317.6399999999999</v>
      </c>
      <c r="O90" s="95">
        <f t="shared" si="21"/>
        <v>1346.8400000000001</v>
      </c>
      <c r="P90" s="95">
        <f t="shared" si="21"/>
        <v>1337.2400000000002</v>
      </c>
      <c r="Q90" s="95">
        <f t="shared" si="21"/>
        <v>1316.74</v>
      </c>
      <c r="R90" s="95">
        <f t="shared" si="21"/>
        <v>1296.94</v>
      </c>
      <c r="S90" s="95">
        <f t="shared" si="21"/>
        <v>1320.74</v>
      </c>
      <c r="T90" s="95">
        <f t="shared" si="21"/>
        <v>1375.7399999999998</v>
      </c>
      <c r="U90" s="95">
        <f t="shared" si="21"/>
        <v>1370.44</v>
      </c>
      <c r="V90" s="95">
        <f t="shared" si="21"/>
        <v>1306.44</v>
      </c>
      <c r="W90" s="95">
        <f t="shared" si="21"/>
        <v>1361.04</v>
      </c>
      <c r="X90" s="95">
        <f t="shared" si="21"/>
        <v>1396.74</v>
      </c>
      <c r="Y90" s="95">
        <v>1571.1399999999999</v>
      </c>
      <c r="Z90" s="95">
        <f t="shared" si="21"/>
        <v>1549.04</v>
      </c>
      <c r="AA90" s="95">
        <f t="shared" si="21"/>
        <v>1487.4399999999998</v>
      </c>
      <c r="AB90" s="95">
        <f t="shared" si="21"/>
        <v>1401.8399999999997</v>
      </c>
      <c r="AC90" s="95">
        <f t="shared" si="21"/>
        <v>1340.94</v>
      </c>
      <c r="AD90" s="95">
        <f t="shared" si="21"/>
        <v>1218.1399999999999</v>
      </c>
      <c r="AE90" s="95">
        <f t="shared" si="21"/>
        <v>1164.94</v>
      </c>
      <c r="AF90" s="95">
        <f t="shared" si="21"/>
        <v>1078.94</v>
      </c>
      <c r="AG90" s="88"/>
      <c r="AH90" s="47">
        <f t="shared" si="12"/>
        <v>1571.1399999999999</v>
      </c>
      <c r="AI90" s="48">
        <f t="shared" si="13"/>
        <v>987.63999999999987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2"/>
        <v>0</v>
      </c>
      <c r="AI91" s="48">
        <f t="shared" si="13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2"/>
        <v>0</v>
      </c>
      <c r="AI92" s="48">
        <f t="shared" si="13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2"/>
        <v>0</v>
      </c>
      <c r="AI93" s="48">
        <f t="shared" si="13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2"/>
        <v>0</v>
      </c>
      <c r="AI96" s="48">
        <f t="shared" si="13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2"/>
        <v>0</v>
      </c>
      <c r="AI97" s="48">
        <f t="shared" si="13"/>
        <v>0</v>
      </c>
      <c r="AK97" s="49"/>
    </row>
    <row r="98" spans="1:37" ht="15.75" thickBot="1" x14ac:dyDescent="0.3">
      <c r="A98" s="74" t="s">
        <v>102</v>
      </c>
      <c r="B98" s="60">
        <f t="shared" ref="B98" si="22">B82-B97</f>
        <v>483.6</v>
      </c>
      <c r="C98" s="60">
        <f t="shared" ref="C98:AF98" si="23">C82-C97</f>
        <v>509</v>
      </c>
      <c r="D98" s="60">
        <f t="shared" si="23"/>
        <v>522.4</v>
      </c>
      <c r="E98" s="60">
        <f t="shared" si="23"/>
        <v>531.1</v>
      </c>
      <c r="F98" s="60">
        <f t="shared" si="23"/>
        <v>538</v>
      </c>
      <c r="G98" s="60">
        <f t="shared" si="23"/>
        <v>563.1</v>
      </c>
      <c r="H98" s="60">
        <f t="shared" si="23"/>
        <v>552</v>
      </c>
      <c r="I98" s="60">
        <f t="shared" si="23"/>
        <v>542.6</v>
      </c>
      <c r="J98" s="60">
        <f t="shared" si="23"/>
        <v>533.6</v>
      </c>
      <c r="K98" s="60">
        <f t="shared" si="23"/>
        <v>557.29999999999995</v>
      </c>
      <c r="L98" s="60">
        <f t="shared" si="23"/>
        <v>495</v>
      </c>
      <c r="M98" s="60">
        <f t="shared" si="23"/>
        <v>530.20000000000005</v>
      </c>
      <c r="N98" s="60">
        <f t="shared" si="23"/>
        <v>464.4</v>
      </c>
      <c r="O98" s="60">
        <f t="shared" si="23"/>
        <v>555</v>
      </c>
      <c r="P98" s="60">
        <f t="shared" si="23"/>
        <v>551.90000000000009</v>
      </c>
      <c r="Q98" s="60">
        <f t="shared" si="23"/>
        <v>570.5</v>
      </c>
      <c r="R98" s="60">
        <f t="shared" si="23"/>
        <v>547.29999999999995</v>
      </c>
      <c r="S98" s="60">
        <f t="shared" si="23"/>
        <v>561</v>
      </c>
      <c r="T98" s="60">
        <f t="shared" si="23"/>
        <v>556.5</v>
      </c>
      <c r="U98" s="60">
        <f t="shared" si="23"/>
        <v>578.29999999999995</v>
      </c>
      <c r="V98" s="60">
        <f t="shared" si="23"/>
        <v>612.70000000000005</v>
      </c>
      <c r="W98" s="60">
        <f t="shared" si="23"/>
        <v>555.1</v>
      </c>
      <c r="X98" s="60">
        <f t="shared" si="23"/>
        <v>551.20000000000005</v>
      </c>
      <c r="Y98" s="60">
        <v>577.29999999999995</v>
      </c>
      <c r="Z98" s="60">
        <f t="shared" si="23"/>
        <v>560.69999999999993</v>
      </c>
      <c r="AA98" s="60">
        <f t="shared" si="23"/>
        <v>556.69999999999993</v>
      </c>
      <c r="AB98" s="60">
        <f t="shared" si="23"/>
        <v>525.69999999999993</v>
      </c>
      <c r="AC98" s="60">
        <f t="shared" si="23"/>
        <v>534.29999999999995</v>
      </c>
      <c r="AD98" s="60">
        <f t="shared" si="23"/>
        <v>481.4</v>
      </c>
      <c r="AE98" s="60">
        <f t="shared" si="23"/>
        <v>536</v>
      </c>
      <c r="AF98" s="60">
        <f t="shared" si="23"/>
        <v>520</v>
      </c>
      <c r="AG98" s="88"/>
      <c r="AH98" s="47">
        <f t="shared" si="12"/>
        <v>612.70000000000005</v>
      </c>
      <c r="AI98" s="48">
        <f t="shared" si="13"/>
        <v>464.4</v>
      </c>
    </row>
    <row r="99" spans="1:37" x14ac:dyDescent="0.25">
      <c r="A99" s="100" t="s">
        <v>103</v>
      </c>
      <c r="B99" s="101">
        <v>50.006</v>
      </c>
      <c r="C99" s="101">
        <v>50.012999999999998</v>
      </c>
      <c r="D99" s="101">
        <v>50.012999999999998</v>
      </c>
      <c r="E99" s="101">
        <v>50.014000000000003</v>
      </c>
      <c r="F99" s="101">
        <v>50.021999999999998</v>
      </c>
      <c r="G99" s="101">
        <v>50.015000000000001</v>
      </c>
      <c r="H99" s="101">
        <v>49.984999999999999</v>
      </c>
      <c r="I99" s="101">
        <v>50.01</v>
      </c>
      <c r="J99" s="101">
        <v>49.960999999999999</v>
      </c>
      <c r="K99" s="101">
        <v>50.07</v>
      </c>
      <c r="L99" s="101">
        <v>49.984999999999999</v>
      </c>
      <c r="M99" s="101">
        <v>49.972999999999999</v>
      </c>
      <c r="N99" s="101">
        <v>49.99</v>
      </c>
      <c r="O99" s="101">
        <v>50.085000000000001</v>
      </c>
      <c r="P99" s="101">
        <v>50.030999999999999</v>
      </c>
      <c r="Q99" s="101">
        <v>49.905999999999999</v>
      </c>
      <c r="R99" s="101">
        <v>49.917999999999999</v>
      </c>
      <c r="S99" s="101">
        <v>50.012</v>
      </c>
      <c r="T99" s="101">
        <v>49.859000000000002</v>
      </c>
      <c r="U99" s="101">
        <v>49.978999999999999</v>
      </c>
      <c r="V99" s="101">
        <v>50.234000000000002</v>
      </c>
      <c r="W99" s="101">
        <v>49.96</v>
      </c>
      <c r="X99" s="101">
        <v>50.057000000000002</v>
      </c>
      <c r="Y99" s="101">
        <v>50.082999999999998</v>
      </c>
      <c r="Z99" s="101">
        <v>50.021000000000001</v>
      </c>
      <c r="AA99" s="101">
        <v>49.923000000000002</v>
      </c>
      <c r="AB99" s="101">
        <v>49.993000000000002</v>
      </c>
      <c r="AC99" s="101">
        <v>49.988</v>
      </c>
      <c r="AD99" s="101">
        <v>49.95</v>
      </c>
      <c r="AE99" s="101">
        <v>49.889000000000003</v>
      </c>
      <c r="AF99" s="101">
        <v>49.905000000000001</v>
      </c>
      <c r="AG99" s="102"/>
      <c r="AH99" s="47">
        <f t="shared" si="12"/>
        <v>50.234000000000002</v>
      </c>
      <c r="AI99" s="48">
        <f t="shared" si="13"/>
        <v>49.859000000000002</v>
      </c>
    </row>
    <row r="100" spans="1:37" x14ac:dyDescent="0.25">
      <c r="A100" s="103" t="s">
        <v>104</v>
      </c>
      <c r="B100" s="65">
        <v>129.4</v>
      </c>
      <c r="C100" s="65">
        <v>129.4</v>
      </c>
      <c r="D100" s="65">
        <v>130.9</v>
      </c>
      <c r="E100" s="65">
        <v>130.4</v>
      </c>
      <c r="F100" s="65">
        <v>129.9</v>
      </c>
      <c r="G100" s="65">
        <v>129.4</v>
      </c>
      <c r="H100" s="65">
        <v>129</v>
      </c>
      <c r="I100" s="65">
        <v>128.5</v>
      </c>
      <c r="J100" s="65">
        <v>126.7</v>
      </c>
      <c r="K100" s="65">
        <v>128.5</v>
      </c>
      <c r="L100" s="65">
        <v>127.2</v>
      </c>
      <c r="M100" s="65">
        <v>126.4</v>
      </c>
      <c r="N100" s="65">
        <v>127.3</v>
      </c>
      <c r="O100" s="65">
        <v>126.6</v>
      </c>
      <c r="P100" s="65">
        <v>126.9</v>
      </c>
      <c r="Q100" s="65">
        <v>123.6</v>
      </c>
      <c r="R100" s="65">
        <v>125.1</v>
      </c>
      <c r="S100" s="65">
        <v>125.4</v>
      </c>
      <c r="T100" s="65">
        <v>125.8</v>
      </c>
      <c r="U100" s="65">
        <v>125.9</v>
      </c>
      <c r="V100" s="65">
        <v>128</v>
      </c>
      <c r="W100" s="65">
        <v>128</v>
      </c>
      <c r="X100" s="65">
        <v>128.9</v>
      </c>
      <c r="Y100" s="65">
        <v>127.7</v>
      </c>
      <c r="Z100" s="65">
        <v>128.80000000000001</v>
      </c>
      <c r="AA100" s="65">
        <v>128.5</v>
      </c>
      <c r="AB100" s="65">
        <v>129.6</v>
      </c>
      <c r="AC100" s="65">
        <v>129.1</v>
      </c>
      <c r="AD100" s="65">
        <v>129.30000000000001</v>
      </c>
      <c r="AE100" s="65">
        <v>129.5</v>
      </c>
      <c r="AF100" s="65">
        <v>130.1</v>
      </c>
      <c r="AG100" s="104"/>
      <c r="AH100" s="47">
        <f t="shared" si="12"/>
        <v>130.9</v>
      </c>
      <c r="AI100" s="48">
        <f t="shared" si="13"/>
        <v>123.6</v>
      </c>
    </row>
    <row r="101" spans="1:37" x14ac:dyDescent="0.25">
      <c r="A101" s="103" t="s">
        <v>105</v>
      </c>
      <c r="B101" s="65">
        <v>132.5</v>
      </c>
      <c r="C101" s="65">
        <v>132.5</v>
      </c>
      <c r="D101" s="65">
        <v>134</v>
      </c>
      <c r="E101" s="65">
        <v>133.30000000000001</v>
      </c>
      <c r="F101" s="65">
        <v>132.80000000000001</v>
      </c>
      <c r="G101" s="65">
        <v>132.4</v>
      </c>
      <c r="H101" s="65">
        <v>131.9</v>
      </c>
      <c r="I101" s="65">
        <v>131.19999999999999</v>
      </c>
      <c r="J101" s="65">
        <v>129.5</v>
      </c>
      <c r="K101" s="65">
        <v>131.19999999999999</v>
      </c>
      <c r="L101" s="65">
        <v>129</v>
      </c>
      <c r="M101" s="65">
        <v>128.80000000000001</v>
      </c>
      <c r="N101" s="65">
        <v>129.30000000000001</v>
      </c>
      <c r="O101" s="65">
        <v>128.30000000000001</v>
      </c>
      <c r="P101" s="65">
        <v>129</v>
      </c>
      <c r="Q101" s="65">
        <v>127.1</v>
      </c>
      <c r="R101" s="65">
        <v>128.19999999999999</v>
      </c>
      <c r="S101" s="65">
        <v>128.30000000000001</v>
      </c>
      <c r="T101" s="65">
        <v>128.30000000000001</v>
      </c>
      <c r="U101" s="65">
        <v>128.5</v>
      </c>
      <c r="V101" s="65">
        <v>130.1</v>
      </c>
      <c r="W101" s="65">
        <v>130.1</v>
      </c>
      <c r="X101" s="65">
        <v>131.30000000000001</v>
      </c>
      <c r="Y101" s="65">
        <v>129.4</v>
      </c>
      <c r="Z101" s="65">
        <v>131.1</v>
      </c>
      <c r="AA101" s="65">
        <v>130.9</v>
      </c>
      <c r="AB101" s="65">
        <v>131.80000000000001</v>
      </c>
      <c r="AC101" s="65">
        <v>131.30000000000001</v>
      </c>
      <c r="AD101" s="65">
        <v>131.30000000000001</v>
      </c>
      <c r="AE101" s="65">
        <v>132.19999999999999</v>
      </c>
      <c r="AF101" s="65">
        <v>133</v>
      </c>
      <c r="AG101" s="104"/>
      <c r="AH101" s="47">
        <f t="shared" si="12"/>
        <v>134</v>
      </c>
      <c r="AI101" s="48">
        <f t="shared" si="13"/>
        <v>127.1</v>
      </c>
    </row>
    <row r="102" spans="1:37" x14ac:dyDescent="0.25">
      <c r="A102" s="103" t="s">
        <v>106</v>
      </c>
      <c r="B102" s="65">
        <v>128.1</v>
      </c>
      <c r="C102" s="65">
        <v>128.1</v>
      </c>
      <c r="D102" s="65">
        <v>127.5</v>
      </c>
      <c r="E102" s="65">
        <v>136</v>
      </c>
      <c r="F102" s="65">
        <v>128.30000000000001</v>
      </c>
      <c r="G102" s="65">
        <v>127.6</v>
      </c>
      <c r="H102" s="65">
        <v>128.69999999999999</v>
      </c>
      <c r="I102" s="65">
        <v>129.1</v>
      </c>
      <c r="J102" s="65">
        <v>123.8</v>
      </c>
      <c r="K102" s="65">
        <v>129.1</v>
      </c>
      <c r="L102" s="65">
        <v>125.1</v>
      </c>
      <c r="M102" s="65">
        <v>127.7</v>
      </c>
      <c r="N102" s="65">
        <v>128.80000000000001</v>
      </c>
      <c r="O102" s="65">
        <v>129.9</v>
      </c>
      <c r="P102" s="65">
        <v>125.8</v>
      </c>
      <c r="Q102" s="65">
        <v>127.1</v>
      </c>
      <c r="R102" s="65">
        <v>127.7</v>
      </c>
      <c r="S102" s="65">
        <v>129.1</v>
      </c>
      <c r="T102" s="65">
        <v>126.6</v>
      </c>
      <c r="U102" s="65">
        <v>129.4</v>
      </c>
      <c r="V102" s="65">
        <v>127.7</v>
      </c>
      <c r="W102" s="65">
        <v>127.7</v>
      </c>
      <c r="X102" s="65">
        <v>129.4</v>
      </c>
      <c r="Y102" s="65">
        <v>128.19999999999999</v>
      </c>
      <c r="Z102" s="65">
        <v>129.4</v>
      </c>
      <c r="AA102" s="65">
        <v>129.1</v>
      </c>
      <c r="AB102" s="65">
        <v>131.1</v>
      </c>
      <c r="AC102" s="65">
        <v>132.19999999999999</v>
      </c>
      <c r="AD102" s="65">
        <v>129.5</v>
      </c>
      <c r="AE102" s="65">
        <v>125.3</v>
      </c>
      <c r="AF102" s="65">
        <v>128.1</v>
      </c>
      <c r="AG102" s="104"/>
      <c r="AH102" s="47">
        <f t="shared" si="12"/>
        <v>136</v>
      </c>
      <c r="AI102" s="48">
        <f t="shared" si="13"/>
        <v>123.8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2"/>
        <v>0</v>
      </c>
      <c r="AI103" s="48">
        <f t="shared" si="13"/>
        <v>0</v>
      </c>
    </row>
    <row r="104" spans="1:37" x14ac:dyDescent="0.25">
      <c r="A104" s="105" t="s">
        <v>108</v>
      </c>
      <c r="B104" s="106">
        <v>131.6</v>
      </c>
      <c r="C104" s="106">
        <v>131.6</v>
      </c>
      <c r="D104" s="106">
        <v>135.1</v>
      </c>
      <c r="E104" s="106">
        <v>132.30000000000001</v>
      </c>
      <c r="F104" s="106">
        <v>131.1</v>
      </c>
      <c r="G104" s="106">
        <v>133.1</v>
      </c>
      <c r="H104" s="106">
        <v>135.30000000000001</v>
      </c>
      <c r="I104" s="106">
        <v>135.69999999999999</v>
      </c>
      <c r="J104" s="106">
        <v>134.80000000000001</v>
      </c>
      <c r="K104" s="106">
        <v>135.69999999999999</v>
      </c>
      <c r="L104" s="106">
        <v>130.9</v>
      </c>
      <c r="M104" s="106">
        <v>134.4</v>
      </c>
      <c r="N104" s="106">
        <v>133</v>
      </c>
      <c r="O104" s="106">
        <v>132</v>
      </c>
      <c r="P104" s="106">
        <v>135</v>
      </c>
      <c r="Q104" s="106">
        <v>131</v>
      </c>
      <c r="R104" s="106">
        <v>134.19999999999999</v>
      </c>
      <c r="S104" s="106">
        <v>133.4</v>
      </c>
      <c r="T104" s="106">
        <v>132.30000000000001</v>
      </c>
      <c r="U104" s="106">
        <v>133.6</v>
      </c>
      <c r="V104" s="106">
        <v>137.1</v>
      </c>
      <c r="W104" s="106">
        <v>137.1</v>
      </c>
      <c r="X104" s="106">
        <v>135.5</v>
      </c>
      <c r="Y104" s="106">
        <v>135.80000000000001</v>
      </c>
      <c r="Z104" s="106">
        <v>134.69999999999999</v>
      </c>
      <c r="AA104" s="106">
        <v>135</v>
      </c>
      <c r="AB104" s="106">
        <v>136.19999999999999</v>
      </c>
      <c r="AC104" s="106">
        <v>135.5</v>
      </c>
      <c r="AD104" s="106">
        <v>135.69999999999999</v>
      </c>
      <c r="AE104" s="106">
        <v>134</v>
      </c>
      <c r="AF104" s="106">
        <v>133.1</v>
      </c>
      <c r="AG104" s="107"/>
      <c r="AH104" s="47">
        <f t="shared" si="12"/>
        <v>137.1</v>
      </c>
      <c r="AI104" s="48">
        <f t="shared" si="13"/>
        <v>130.9</v>
      </c>
    </row>
    <row r="105" spans="1:37" x14ac:dyDescent="0.25">
      <c r="A105" s="103" t="s">
        <v>109</v>
      </c>
      <c r="B105" s="65">
        <v>133.30000000000001</v>
      </c>
      <c r="C105" s="65">
        <v>133.30000000000001</v>
      </c>
      <c r="D105" s="65">
        <v>136.19999999999999</v>
      </c>
      <c r="E105" s="65">
        <v>135.5</v>
      </c>
      <c r="F105" s="65">
        <v>135.1</v>
      </c>
      <c r="G105" s="65">
        <v>135</v>
      </c>
      <c r="H105" s="65">
        <v>131.9</v>
      </c>
      <c r="I105" s="65">
        <v>131.5</v>
      </c>
      <c r="J105" s="65">
        <v>129.6</v>
      </c>
      <c r="K105" s="65">
        <v>131.5</v>
      </c>
      <c r="L105" s="65">
        <v>129.80000000000001</v>
      </c>
      <c r="M105" s="65">
        <v>127.1</v>
      </c>
      <c r="N105" s="65">
        <v>130.80000000000001</v>
      </c>
      <c r="O105" s="65">
        <v>129.5</v>
      </c>
      <c r="P105" s="65">
        <v>125.5</v>
      </c>
      <c r="Q105" s="65">
        <v>129.69999999999999</v>
      </c>
      <c r="R105" s="65">
        <v>133.5</v>
      </c>
      <c r="S105" s="65">
        <v>129.4</v>
      </c>
      <c r="T105" s="65">
        <v>130.1</v>
      </c>
      <c r="U105" s="65">
        <v>126.7</v>
      </c>
      <c r="V105" s="65">
        <v>129.4</v>
      </c>
      <c r="W105" s="65">
        <v>129.4</v>
      </c>
      <c r="X105" s="65">
        <v>133.9</v>
      </c>
      <c r="Y105" s="65">
        <v>129.6</v>
      </c>
      <c r="Z105" s="65">
        <v>129.52000000000001</v>
      </c>
      <c r="AA105" s="65">
        <v>128</v>
      </c>
      <c r="AB105" s="65">
        <v>133.4</v>
      </c>
      <c r="AC105" s="65">
        <v>136.4</v>
      </c>
      <c r="AD105" s="65">
        <v>131.1</v>
      </c>
      <c r="AE105" s="65">
        <v>136</v>
      </c>
      <c r="AF105" s="65">
        <v>133.6</v>
      </c>
      <c r="AG105" s="104"/>
      <c r="AH105" s="47">
        <f t="shared" si="12"/>
        <v>136.4</v>
      </c>
      <c r="AI105" s="48">
        <f t="shared" si="13"/>
        <v>125.5</v>
      </c>
    </row>
    <row r="106" spans="1:37" ht="15.75" thickBot="1" x14ac:dyDescent="0.3">
      <c r="A106" s="103" t="s">
        <v>110</v>
      </c>
      <c r="B106" s="92">
        <v>66.5</v>
      </c>
      <c r="C106" s="92">
        <v>66.5</v>
      </c>
      <c r="D106" s="92">
        <v>67</v>
      </c>
      <c r="E106" s="92">
        <v>66.8</v>
      </c>
      <c r="F106" s="92">
        <v>66.7</v>
      </c>
      <c r="G106" s="92">
        <v>66.2</v>
      </c>
      <c r="H106" s="92">
        <v>65.5</v>
      </c>
      <c r="I106" s="92">
        <v>65.3</v>
      </c>
      <c r="J106" s="92">
        <v>64.900000000000006</v>
      </c>
      <c r="K106" s="92">
        <v>65.3</v>
      </c>
      <c r="L106" s="92">
        <v>64.06</v>
      </c>
      <c r="M106" s="92">
        <v>64.5</v>
      </c>
      <c r="N106" s="92">
        <v>64.5</v>
      </c>
      <c r="O106" s="92">
        <v>64.3</v>
      </c>
      <c r="P106" s="92">
        <v>64.599999999999994</v>
      </c>
      <c r="Q106" s="92">
        <v>63.5</v>
      </c>
      <c r="R106" s="92">
        <v>64.099999999999994</v>
      </c>
      <c r="S106" s="92">
        <v>64.3</v>
      </c>
      <c r="T106" s="92">
        <v>64.3</v>
      </c>
      <c r="U106" s="92">
        <v>64.400000000000006</v>
      </c>
      <c r="V106" s="92">
        <v>65.2</v>
      </c>
      <c r="W106" s="92">
        <v>65.2</v>
      </c>
      <c r="X106" s="92" t="s">
        <v>262</v>
      </c>
      <c r="Y106" s="92">
        <v>65</v>
      </c>
      <c r="Z106" s="92">
        <v>65.7</v>
      </c>
      <c r="AA106" s="92">
        <v>65.7</v>
      </c>
      <c r="AB106" s="92">
        <v>66</v>
      </c>
      <c r="AC106" s="92">
        <v>66</v>
      </c>
      <c r="AD106" s="92">
        <v>66</v>
      </c>
      <c r="AE106" s="92">
        <v>67</v>
      </c>
      <c r="AF106" s="92">
        <v>67.099999999999994</v>
      </c>
      <c r="AG106" s="108"/>
      <c r="AH106" s="47">
        <f t="shared" si="12"/>
        <v>67.099999999999994</v>
      </c>
      <c r="AI106" s="48">
        <f t="shared" si="13"/>
        <v>63.5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2"/>
        <v>0</v>
      </c>
      <c r="AI107" s="48">
        <f t="shared" si="13"/>
        <v>0</v>
      </c>
    </row>
    <row r="108" spans="1:37" ht="15.75" thickBot="1" x14ac:dyDescent="0.3">
      <c r="A108" s="110" t="s">
        <v>112</v>
      </c>
      <c r="B108" s="111">
        <f>SUM(B18,B24,B27:B28,B56,B58:B59,B61,B63,B109:B113,B135,B141,B147,B156,B158,B170,B177,B180:B181,B188,B190,B192,B196:B198,B200:B202,B207,B213:B214,B216:B218,B226,B231)</f>
        <v>177.89999999999998</v>
      </c>
      <c r="C108" s="111">
        <f t="shared" ref="C108:AF108" si="24">SUM(C18,C24,C27:C28,C56,C58:C59,C61,C63,C109:C113,C135,C141,C147,C156,C158,C170,C177,C180:C181,C188,C190,C192,C196:C198,C200:C202,C207,C213:C214,C216:C218,C226,C231)</f>
        <v>109.23999999999998</v>
      </c>
      <c r="D108" s="111">
        <f t="shared" si="24"/>
        <v>109.73999999999998</v>
      </c>
      <c r="E108" s="111">
        <f t="shared" si="24"/>
        <v>107.63999999999999</v>
      </c>
      <c r="F108" s="111">
        <f t="shared" si="24"/>
        <v>111.94</v>
      </c>
      <c r="G108" s="111">
        <f t="shared" si="24"/>
        <v>139.54</v>
      </c>
      <c r="H108" s="111">
        <f t="shared" si="24"/>
        <v>165.14</v>
      </c>
      <c r="I108" s="111">
        <f t="shared" si="24"/>
        <v>201.64</v>
      </c>
      <c r="J108" s="111">
        <f t="shared" si="24"/>
        <v>255.54</v>
      </c>
      <c r="K108" s="111">
        <f t="shared" si="24"/>
        <v>286.73999999999995</v>
      </c>
      <c r="L108" s="111">
        <f t="shared" si="24"/>
        <v>313.23999999999995</v>
      </c>
      <c r="M108" s="111">
        <f t="shared" si="24"/>
        <v>287.94</v>
      </c>
      <c r="N108" s="111">
        <f t="shared" si="24"/>
        <v>274.33999999999997</v>
      </c>
      <c r="O108" s="111">
        <f t="shared" si="24"/>
        <v>271.83999999999997</v>
      </c>
      <c r="P108" s="111">
        <v>42</v>
      </c>
      <c r="Q108" s="111">
        <f t="shared" si="24"/>
        <v>252.5</v>
      </c>
      <c r="R108" s="111">
        <f t="shared" si="24"/>
        <v>245.9</v>
      </c>
      <c r="S108" s="111">
        <f t="shared" si="24"/>
        <v>147.29999999999998</v>
      </c>
      <c r="T108" s="111">
        <f t="shared" si="24"/>
        <v>268.5</v>
      </c>
      <c r="U108" s="111">
        <f t="shared" si="24"/>
        <v>272.2</v>
      </c>
      <c r="V108" s="111">
        <f t="shared" si="24"/>
        <v>289</v>
      </c>
      <c r="W108" s="111">
        <f t="shared" si="24"/>
        <v>293.60000000000002</v>
      </c>
      <c r="X108" s="111">
        <f t="shared" si="24"/>
        <v>308.59999999999997</v>
      </c>
      <c r="Y108" s="111">
        <f t="shared" si="24"/>
        <v>366.6</v>
      </c>
      <c r="Z108" s="111">
        <f t="shared" si="24"/>
        <v>362.79999999999995</v>
      </c>
      <c r="AA108" s="111">
        <f t="shared" si="24"/>
        <v>354</v>
      </c>
      <c r="AB108" s="111">
        <f t="shared" si="24"/>
        <v>307.5</v>
      </c>
      <c r="AC108" s="111">
        <f t="shared" si="24"/>
        <v>280.39999999999998</v>
      </c>
      <c r="AD108" s="111">
        <f t="shared" si="24"/>
        <v>258.2</v>
      </c>
      <c r="AE108" s="111">
        <f t="shared" si="24"/>
        <v>186.1</v>
      </c>
      <c r="AF108" s="111">
        <f t="shared" si="24"/>
        <v>147.19999999999999</v>
      </c>
      <c r="AG108" s="112"/>
      <c r="AH108" s="47">
        <f t="shared" si="12"/>
        <v>366.6</v>
      </c>
      <c r="AI108" s="48">
        <f t="shared" si="13"/>
        <v>42</v>
      </c>
    </row>
    <row r="109" spans="1:37" x14ac:dyDescent="0.25">
      <c r="A109" s="100" t="s">
        <v>113</v>
      </c>
      <c r="B109" s="113">
        <v>-21.9</v>
      </c>
      <c r="C109" s="113">
        <v>-32.5</v>
      </c>
      <c r="D109" s="113">
        <v>-19.8</v>
      </c>
      <c r="E109" s="113">
        <v>-22.3</v>
      </c>
      <c r="F109" s="113">
        <v>-24</v>
      </c>
      <c r="G109" s="113">
        <v>-22.7</v>
      </c>
      <c r="H109" s="113">
        <v>-11.9</v>
      </c>
      <c r="I109" s="113">
        <v>-3.6</v>
      </c>
      <c r="J109" s="113">
        <v>11.4</v>
      </c>
      <c r="K109" s="113">
        <v>13.1</v>
      </c>
      <c r="L109" s="113">
        <v>9.3000000000000007</v>
      </c>
      <c r="M109" s="113">
        <v>8.3000000000000007</v>
      </c>
      <c r="N109" s="113">
        <v>2.7</v>
      </c>
      <c r="O109" s="113">
        <v>-3.6</v>
      </c>
      <c r="P109" s="113">
        <v>0</v>
      </c>
      <c r="Q109" s="113">
        <v>-4.7</v>
      </c>
      <c r="R109" s="113">
        <v>1.1000000000000001</v>
      </c>
      <c r="S109" s="113">
        <v>-2.2999999999999998</v>
      </c>
      <c r="T109" s="113">
        <v>-8.5</v>
      </c>
      <c r="U109" s="113">
        <v>-10.9</v>
      </c>
      <c r="V109" s="113">
        <v>-3.1</v>
      </c>
      <c r="W109" s="113">
        <v>1.2</v>
      </c>
      <c r="X109" s="113">
        <v>0</v>
      </c>
      <c r="Y109" s="113">
        <v>16</v>
      </c>
      <c r="Z109" s="113">
        <v>10.8</v>
      </c>
      <c r="AA109" s="113">
        <v>10.6</v>
      </c>
      <c r="AB109" s="113">
        <v>7.7</v>
      </c>
      <c r="AC109" s="113">
        <v>4.5</v>
      </c>
      <c r="AD109" s="113">
        <v>8.5</v>
      </c>
      <c r="AE109" s="113">
        <v>-4.3</v>
      </c>
      <c r="AF109" s="113">
        <v>-8.6999999999999993</v>
      </c>
      <c r="AG109" s="114">
        <v>75</v>
      </c>
      <c r="AH109" s="47">
        <f t="shared" si="12"/>
        <v>16</v>
      </c>
      <c r="AI109" s="48">
        <f t="shared" si="13"/>
        <v>-32.5</v>
      </c>
    </row>
    <row r="110" spans="1:37" x14ac:dyDescent="0.25">
      <c r="A110" s="103" t="s">
        <v>114</v>
      </c>
      <c r="B110" s="115">
        <v>29.1</v>
      </c>
      <c r="C110" s="115">
        <v>-42</v>
      </c>
      <c r="D110" s="115">
        <v>-26.1</v>
      </c>
      <c r="E110" s="115">
        <v>-28.1</v>
      </c>
      <c r="F110" s="115">
        <v>-31.2</v>
      </c>
      <c r="G110" s="115">
        <v>-30</v>
      </c>
      <c r="H110" s="115">
        <v>-16</v>
      </c>
      <c r="I110" s="115">
        <v>-6.1</v>
      </c>
      <c r="J110" s="115">
        <v>12.7</v>
      </c>
      <c r="K110" s="115">
        <v>9.3000000000000007</v>
      </c>
      <c r="L110" s="115">
        <v>3.6</v>
      </c>
      <c r="M110" s="115">
        <v>1.5</v>
      </c>
      <c r="N110" s="115">
        <v>4.5</v>
      </c>
      <c r="O110" s="115">
        <v>-11.5</v>
      </c>
      <c r="P110" s="115">
        <v>-2.5</v>
      </c>
      <c r="Q110" s="115">
        <v>-7.2</v>
      </c>
      <c r="R110" s="115">
        <v>-0.8</v>
      </c>
      <c r="S110" s="115">
        <v>-4.7</v>
      </c>
      <c r="T110" s="115">
        <v>-12.1</v>
      </c>
      <c r="U110" s="115">
        <v>-17.2</v>
      </c>
      <c r="V110" s="115">
        <v>-11.5</v>
      </c>
      <c r="W110" s="115">
        <v>-4.9000000000000004</v>
      </c>
      <c r="X110" s="115">
        <v>-7.4</v>
      </c>
      <c r="Y110" s="115">
        <v>12.5</v>
      </c>
      <c r="Z110" s="115">
        <v>4.5999999999999996</v>
      </c>
      <c r="AA110" s="115">
        <v>6</v>
      </c>
      <c r="AB110" s="115">
        <v>2.4</v>
      </c>
      <c r="AC110" s="115">
        <v>-1.5</v>
      </c>
      <c r="AD110" s="115">
        <v>5.3</v>
      </c>
      <c r="AE110" s="115">
        <v>-11</v>
      </c>
      <c r="AF110" s="115">
        <v>-15</v>
      </c>
      <c r="AG110" s="114">
        <v>240</v>
      </c>
      <c r="AH110" s="47">
        <f t="shared" si="12"/>
        <v>29.1</v>
      </c>
      <c r="AI110" s="48">
        <f t="shared" si="13"/>
        <v>-42</v>
      </c>
    </row>
    <row r="111" spans="1:37" x14ac:dyDescent="0.25">
      <c r="A111" s="103" t="s">
        <v>115</v>
      </c>
      <c r="B111" s="115">
        <v>-4.4000000000000004</v>
      </c>
      <c r="C111" s="115">
        <v>0.7</v>
      </c>
      <c r="D111" s="115">
        <v>-7.2</v>
      </c>
      <c r="E111" s="115">
        <v>-5.0999999999999996</v>
      </c>
      <c r="F111" s="115">
        <v>-3.3</v>
      </c>
      <c r="G111" s="115">
        <v>7.1</v>
      </c>
      <c r="H111" s="115">
        <v>8.6</v>
      </c>
      <c r="I111" s="115">
        <v>17.100000000000001</v>
      </c>
      <c r="J111" s="115">
        <v>25.4</v>
      </c>
      <c r="K111" s="115">
        <v>41</v>
      </c>
      <c r="L111" s="115">
        <v>57.1</v>
      </c>
      <c r="M111" s="115">
        <v>35.9</v>
      </c>
      <c r="N111" s="115">
        <v>38.1</v>
      </c>
      <c r="O111" s="115">
        <v>38.9</v>
      </c>
      <c r="P111" s="115">
        <v>41</v>
      </c>
      <c r="Q111" s="115">
        <v>15</v>
      </c>
      <c r="R111" s="115">
        <v>6</v>
      </c>
      <c r="S111" s="115">
        <v>23.4</v>
      </c>
      <c r="T111" s="115">
        <v>31.1</v>
      </c>
      <c r="U111" s="115">
        <f>25+18</f>
        <v>43</v>
      </c>
      <c r="V111" s="115">
        <v>52.5</v>
      </c>
      <c r="W111" s="115">
        <v>53.3</v>
      </c>
      <c r="X111" s="115">
        <f>38.8+35</f>
        <v>73.8</v>
      </c>
      <c r="Y111" s="115">
        <v>64</v>
      </c>
      <c r="Z111" s="115">
        <f>45+40</f>
        <v>85</v>
      </c>
      <c r="AA111" s="115">
        <v>80</v>
      </c>
      <c r="AB111" s="115">
        <v>72</v>
      </c>
      <c r="AC111" s="115">
        <v>74</v>
      </c>
      <c r="AD111" s="115">
        <v>39</v>
      </c>
      <c r="AE111" s="115">
        <v>13</v>
      </c>
      <c r="AF111" s="115">
        <v>-1.5</v>
      </c>
      <c r="AG111" s="114">
        <v>240</v>
      </c>
      <c r="AH111" s="47">
        <f t="shared" si="12"/>
        <v>85</v>
      </c>
      <c r="AI111" s="48">
        <f t="shared" si="13"/>
        <v>-7.2</v>
      </c>
    </row>
    <row r="112" spans="1:37" x14ac:dyDescent="0.25">
      <c r="A112" s="103" t="s">
        <v>116</v>
      </c>
      <c r="B112" s="115">
        <v>0.8</v>
      </c>
      <c r="C112" s="115">
        <v>0.2</v>
      </c>
      <c r="D112" s="115">
        <v>-0.9</v>
      </c>
      <c r="E112" s="115">
        <v>-0.2</v>
      </c>
      <c r="F112" s="115">
        <v>0.6</v>
      </c>
      <c r="G112" s="115">
        <v>2.2999999999999998</v>
      </c>
      <c r="H112" s="115">
        <v>1.8</v>
      </c>
      <c r="I112" s="115">
        <v>4.7</v>
      </c>
      <c r="J112" s="115">
        <v>8.6999999999999993</v>
      </c>
      <c r="K112" s="115">
        <v>25.1</v>
      </c>
      <c r="L112" s="115">
        <v>36.5</v>
      </c>
      <c r="M112" s="115">
        <v>36.799999999999997</v>
      </c>
      <c r="N112" s="115">
        <v>26.9</v>
      </c>
      <c r="O112" s="115">
        <v>33.6</v>
      </c>
      <c r="P112" s="115">
        <v>29.8</v>
      </c>
      <c r="Q112" s="115">
        <v>25.4</v>
      </c>
      <c r="R112" s="115">
        <v>28.4</v>
      </c>
      <c r="S112" s="115">
        <v>26.6</v>
      </c>
      <c r="T112" s="115">
        <v>40.299999999999997</v>
      </c>
      <c r="U112" s="115">
        <v>43.6</v>
      </c>
      <c r="V112" s="115">
        <v>35.299999999999997</v>
      </c>
      <c r="W112" s="115">
        <v>36.200000000000003</v>
      </c>
      <c r="X112" s="115">
        <v>41.5</v>
      </c>
      <c r="Y112" s="115">
        <v>52.3</v>
      </c>
      <c r="Z112" s="115">
        <v>48.7</v>
      </c>
      <c r="AA112" s="115">
        <v>48</v>
      </c>
      <c r="AB112" s="115">
        <v>45</v>
      </c>
      <c r="AC112" s="115">
        <v>38</v>
      </c>
      <c r="AD112" s="115">
        <v>18</v>
      </c>
      <c r="AE112" s="115">
        <v>10</v>
      </c>
      <c r="AF112" s="115">
        <v>6</v>
      </c>
      <c r="AG112" s="114">
        <v>60</v>
      </c>
      <c r="AH112" s="47">
        <f t="shared" si="12"/>
        <v>52.3</v>
      </c>
      <c r="AI112" s="48">
        <f t="shared" si="13"/>
        <v>-0.9</v>
      </c>
    </row>
    <row r="113" spans="1:37" x14ac:dyDescent="0.25">
      <c r="A113" s="116" t="s">
        <v>117</v>
      </c>
      <c r="B113" s="117">
        <v>82.3</v>
      </c>
      <c r="C113" s="117">
        <v>89.9</v>
      </c>
      <c r="D113" s="117">
        <v>70.8</v>
      </c>
      <c r="E113" s="117">
        <v>70.400000000000006</v>
      </c>
      <c r="F113" s="117">
        <v>76.900000000000006</v>
      </c>
      <c r="G113" s="117">
        <v>89.9</v>
      </c>
      <c r="H113" s="117">
        <v>89.7</v>
      </c>
      <c r="I113" s="117">
        <v>96.6</v>
      </c>
      <c r="J113" s="117">
        <v>104.4</v>
      </c>
      <c r="K113" s="117">
        <v>105.3</v>
      </c>
      <c r="L113" s="117">
        <v>113.8</v>
      </c>
      <c r="M113" s="117">
        <v>112.5</v>
      </c>
      <c r="N113" s="117">
        <v>111.9</v>
      </c>
      <c r="O113" s="117">
        <v>112.3</v>
      </c>
      <c r="P113" s="117">
        <v>109</v>
      </c>
      <c r="Q113" s="117">
        <v>119.5</v>
      </c>
      <c r="R113" s="117">
        <v>106.9</v>
      </c>
      <c r="S113" s="117"/>
      <c r="T113" s="117">
        <v>116</v>
      </c>
      <c r="U113" s="117">
        <v>112</v>
      </c>
      <c r="V113" s="117">
        <v>114.1</v>
      </c>
      <c r="W113" s="117">
        <v>106.1</v>
      </c>
      <c r="X113" s="117">
        <v>99</v>
      </c>
      <c r="Y113" s="117">
        <v>120.1</v>
      </c>
      <c r="Z113" s="117">
        <v>112</v>
      </c>
      <c r="AA113" s="117">
        <v>106</v>
      </c>
      <c r="AB113" s="117">
        <v>90</v>
      </c>
      <c r="AC113" s="117">
        <v>75</v>
      </c>
      <c r="AD113" s="117">
        <v>97</v>
      </c>
      <c r="AE113" s="117">
        <v>88</v>
      </c>
      <c r="AF113" s="117">
        <v>76</v>
      </c>
      <c r="AG113" s="118">
        <v>120</v>
      </c>
      <c r="AH113" s="47">
        <f t="shared" si="12"/>
        <v>120.1</v>
      </c>
      <c r="AI113" s="48">
        <f t="shared" si="13"/>
        <v>70.400000000000006</v>
      </c>
    </row>
    <row r="114" spans="1:37" x14ac:dyDescent="0.25">
      <c r="A114" s="116" t="s">
        <v>118</v>
      </c>
      <c r="B114" s="117">
        <v>70</v>
      </c>
      <c r="C114" s="117">
        <v>80.599999999999994</v>
      </c>
      <c r="D114" s="117">
        <v>65</v>
      </c>
      <c r="E114" s="117">
        <v>66.8</v>
      </c>
      <c r="F114" s="117">
        <v>72.099999999999994</v>
      </c>
      <c r="G114" s="117">
        <v>81.900000000000006</v>
      </c>
      <c r="H114" s="117">
        <v>79.5</v>
      </c>
      <c r="I114" s="117">
        <v>76.7</v>
      </c>
      <c r="J114" s="117">
        <v>81.8</v>
      </c>
      <c r="K114" s="117">
        <v>80</v>
      </c>
      <c r="L114" s="117">
        <v>80.3</v>
      </c>
      <c r="M114" s="117">
        <v>85</v>
      </c>
      <c r="N114" s="117">
        <v>81.900000000000006</v>
      </c>
      <c r="O114" s="117">
        <v>85.1</v>
      </c>
      <c r="P114" s="117">
        <v>82.4</v>
      </c>
      <c r="Q114" s="117">
        <v>93</v>
      </c>
      <c r="R114" s="117">
        <v>80.400000000000006</v>
      </c>
      <c r="S114" s="117">
        <v>84.7</v>
      </c>
      <c r="T114" s="117">
        <v>86.1</v>
      </c>
      <c r="U114" s="117">
        <v>86.6</v>
      </c>
      <c r="V114" s="117">
        <v>86.3</v>
      </c>
      <c r="W114" s="117">
        <v>77.900000000000006</v>
      </c>
      <c r="X114" s="117">
        <v>94</v>
      </c>
      <c r="Y114" s="117">
        <v>82.6</v>
      </c>
      <c r="Z114" s="117">
        <v>93</v>
      </c>
      <c r="AA114" s="117">
        <v>94</v>
      </c>
      <c r="AB114" s="117">
        <v>90</v>
      </c>
      <c r="AC114" s="117">
        <v>96</v>
      </c>
      <c r="AD114" s="117">
        <v>76</v>
      </c>
      <c r="AE114" s="117">
        <v>74</v>
      </c>
      <c r="AF114" s="117">
        <v>67</v>
      </c>
      <c r="AG114" s="118"/>
      <c r="AH114" s="47">
        <f t="shared" si="12"/>
        <v>96</v>
      </c>
      <c r="AI114" s="48">
        <f t="shared" si="13"/>
        <v>65</v>
      </c>
    </row>
    <row r="115" spans="1:37" x14ac:dyDescent="0.25">
      <c r="A115" s="116" t="s">
        <v>119</v>
      </c>
      <c r="B115" s="117">
        <v>48.9</v>
      </c>
      <c r="C115" s="117"/>
      <c r="D115" s="117"/>
      <c r="E115" s="117">
        <v>41.2</v>
      </c>
      <c r="F115" s="117"/>
      <c r="G115" s="117">
        <v>41.1</v>
      </c>
      <c r="H115" s="117"/>
      <c r="I115" s="117"/>
      <c r="J115" s="117">
        <v>17.399999999999999</v>
      </c>
      <c r="K115" s="117"/>
      <c r="L115" s="117"/>
      <c r="M115" s="117">
        <v>25.2</v>
      </c>
      <c r="N115" s="117">
        <v>-10.7</v>
      </c>
      <c r="O115" s="117" t="s">
        <v>261</v>
      </c>
      <c r="P115" s="117">
        <v>26</v>
      </c>
      <c r="Q115" s="117"/>
      <c r="R115" s="117">
        <v>33.5</v>
      </c>
      <c r="S115" s="117">
        <v>34.9</v>
      </c>
      <c r="T115" s="117"/>
      <c r="U115" s="117">
        <v>36.9</v>
      </c>
      <c r="V115" s="117">
        <v>29.9</v>
      </c>
      <c r="W115" s="117">
        <v>26.7</v>
      </c>
      <c r="X115" s="117"/>
      <c r="Y115" s="117"/>
      <c r="Z115" s="117">
        <v>26.8</v>
      </c>
      <c r="AA115" s="117">
        <v>24.3</v>
      </c>
      <c r="AB115" s="117"/>
      <c r="AC115" s="117">
        <v>23</v>
      </c>
      <c r="AD115" s="117"/>
      <c r="AE115" s="117">
        <v>34</v>
      </c>
      <c r="AF115" s="117"/>
      <c r="AG115" s="119"/>
      <c r="AH115" s="47">
        <f t="shared" si="12"/>
        <v>48.9</v>
      </c>
      <c r="AI115" s="48">
        <f t="shared" si="13"/>
        <v>-10.7</v>
      </c>
    </row>
    <row r="116" spans="1:37" x14ac:dyDescent="0.25">
      <c r="A116" s="120" t="s">
        <v>120</v>
      </c>
      <c r="B116" s="106">
        <v>-16.2</v>
      </c>
      <c r="C116" s="106">
        <v>-9.1999999999999993</v>
      </c>
      <c r="D116" s="106">
        <v>-5.0999999999999996</v>
      </c>
      <c r="E116" s="106">
        <v>-5.3</v>
      </c>
      <c r="F116" s="106">
        <v>-6.4</v>
      </c>
      <c r="G116" s="106">
        <v>-14.9</v>
      </c>
      <c r="H116" s="106">
        <v>-18.899999999999999</v>
      </c>
      <c r="I116" s="106">
        <v>-34.4</v>
      </c>
      <c r="J116" s="106">
        <v>-54.1</v>
      </c>
      <c r="K116" s="106">
        <v>-76.5</v>
      </c>
      <c r="L116" s="106">
        <v>-77.2</v>
      </c>
      <c r="M116" s="106">
        <v>84.2</v>
      </c>
      <c r="N116" s="106">
        <v>-60.9</v>
      </c>
      <c r="O116" s="106">
        <v>-54</v>
      </c>
      <c r="P116" s="106">
        <v>-37.799999999999997</v>
      </c>
      <c r="Q116" s="106">
        <v>-67</v>
      </c>
      <c r="R116" s="106">
        <v>-53</v>
      </c>
      <c r="S116" s="106">
        <v>57.5</v>
      </c>
      <c r="T116" s="106">
        <v>-56.9</v>
      </c>
      <c r="U116" s="106">
        <v>-61.7</v>
      </c>
      <c r="V116" s="106">
        <v>-55.3</v>
      </c>
      <c r="W116" s="106">
        <v>-75.5</v>
      </c>
      <c r="X116" s="106">
        <v>-91.9</v>
      </c>
      <c r="Y116" s="106">
        <v>-104</v>
      </c>
      <c r="Z116" s="106">
        <v>-82</v>
      </c>
      <c r="AA116" s="106">
        <v>-80</v>
      </c>
      <c r="AB116" s="106">
        <v>-66</v>
      </c>
      <c r="AC116" s="106">
        <v>-54</v>
      </c>
      <c r="AD116" s="106">
        <v>-42</v>
      </c>
      <c r="AE116" s="106">
        <v>-30</v>
      </c>
      <c r="AF116" s="106">
        <v>-22</v>
      </c>
      <c r="AG116" s="119"/>
      <c r="AH116" s="47">
        <f t="shared" si="12"/>
        <v>84.2</v>
      </c>
      <c r="AI116" s="48">
        <f t="shared" si="13"/>
        <v>-104</v>
      </c>
    </row>
    <row r="117" spans="1:37" ht="15.75" thickBot="1" x14ac:dyDescent="0.3">
      <c r="A117" s="120" t="s">
        <v>121</v>
      </c>
      <c r="B117" s="106">
        <v>73.599999999999994</v>
      </c>
      <c r="C117" s="106">
        <v>66.599999999999994</v>
      </c>
      <c r="D117" s="106">
        <v>53.1</v>
      </c>
      <c r="E117" s="106">
        <v>51.8</v>
      </c>
      <c r="F117" s="106">
        <v>52.8</v>
      </c>
      <c r="G117" s="106">
        <v>59.8</v>
      </c>
      <c r="H117" s="106">
        <v>52.9</v>
      </c>
      <c r="I117" s="106">
        <v>70.3</v>
      </c>
      <c r="J117" s="106">
        <v>77.400000000000006</v>
      </c>
      <c r="K117" s="106">
        <v>76.400000000000006</v>
      </c>
      <c r="L117" s="106">
        <v>79.900000000000006</v>
      </c>
      <c r="M117" s="106">
        <v>84.2</v>
      </c>
      <c r="N117" s="106">
        <v>77.599999999999994</v>
      </c>
      <c r="O117" s="106">
        <v>79.2</v>
      </c>
      <c r="P117" s="106">
        <v>93.6</v>
      </c>
      <c r="Q117" s="106">
        <v>96.6</v>
      </c>
      <c r="R117" s="106">
        <v>98</v>
      </c>
      <c r="S117" s="106">
        <v>103.5</v>
      </c>
      <c r="T117" s="106">
        <v>104.1</v>
      </c>
      <c r="U117" s="106">
        <v>100</v>
      </c>
      <c r="V117" s="106">
        <v>86.3</v>
      </c>
      <c r="W117" s="106">
        <v>90.9</v>
      </c>
      <c r="X117" s="106">
        <v>91.3</v>
      </c>
      <c r="Y117" s="106">
        <v>110</v>
      </c>
      <c r="Z117" s="106">
        <v>92.1</v>
      </c>
      <c r="AA117" s="106">
        <v>84.7</v>
      </c>
      <c r="AB117" s="106">
        <v>81</v>
      </c>
      <c r="AC117" s="106">
        <v>74</v>
      </c>
      <c r="AD117" s="106">
        <v>71</v>
      </c>
      <c r="AE117" s="106">
        <v>88</v>
      </c>
      <c r="AF117" s="106">
        <v>72</v>
      </c>
      <c r="AG117" s="119"/>
      <c r="AH117" s="47">
        <f t="shared" si="12"/>
        <v>110</v>
      </c>
      <c r="AI117" s="48">
        <f t="shared" si="13"/>
        <v>51.8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5">SUM(B119:B223)</f>
        <v>0</v>
      </c>
      <c r="C224" s="136">
        <f t="shared" si="25"/>
        <v>0</v>
      </c>
      <c r="D224" s="136">
        <f t="shared" si="25"/>
        <v>0</v>
      </c>
      <c r="E224" s="136">
        <f t="shared" si="25"/>
        <v>0</v>
      </c>
      <c r="F224" s="136">
        <f t="shared" si="25"/>
        <v>0</v>
      </c>
      <c r="G224" s="136">
        <f t="shared" si="25"/>
        <v>0</v>
      </c>
      <c r="H224" s="136">
        <f t="shared" si="25"/>
        <v>0</v>
      </c>
      <c r="I224" s="136">
        <f t="shared" si="25"/>
        <v>0</v>
      </c>
      <c r="J224" s="136">
        <f t="shared" si="25"/>
        <v>0</v>
      </c>
      <c r="K224" s="136">
        <f t="shared" si="25"/>
        <v>0</v>
      </c>
      <c r="L224" s="136">
        <f t="shared" si="25"/>
        <v>0</v>
      </c>
      <c r="M224" s="136">
        <f t="shared" si="25"/>
        <v>0</v>
      </c>
      <c r="N224" s="136">
        <f t="shared" si="25"/>
        <v>0</v>
      </c>
      <c r="O224" s="136">
        <f t="shared" si="25"/>
        <v>0</v>
      </c>
      <c r="P224" s="136">
        <f t="shared" si="25"/>
        <v>0</v>
      </c>
      <c r="Q224" s="136">
        <f t="shared" si="25"/>
        <v>0</v>
      </c>
      <c r="R224" s="136">
        <f t="shared" si="25"/>
        <v>0</v>
      </c>
      <c r="S224" s="136">
        <f t="shared" si="25"/>
        <v>0</v>
      </c>
      <c r="T224" s="136">
        <f t="shared" si="25"/>
        <v>0</v>
      </c>
      <c r="U224" s="136">
        <f t="shared" si="25"/>
        <v>0</v>
      </c>
      <c r="V224" s="136">
        <f t="shared" si="25"/>
        <v>0</v>
      </c>
      <c r="W224" s="136">
        <f t="shared" si="25"/>
        <v>0</v>
      </c>
      <c r="X224" s="136">
        <f t="shared" si="25"/>
        <v>0</v>
      </c>
      <c r="Y224" s="136">
        <f t="shared" si="25"/>
        <v>0</v>
      </c>
      <c r="Z224" s="136">
        <f t="shared" si="25"/>
        <v>0</v>
      </c>
      <c r="AA224" s="136">
        <f t="shared" si="25"/>
        <v>0</v>
      </c>
      <c r="AB224" s="136">
        <f t="shared" si="25"/>
        <v>0</v>
      </c>
      <c r="AC224" s="136">
        <f t="shared" si="25"/>
        <v>0</v>
      </c>
      <c r="AD224" s="136">
        <f t="shared" si="25"/>
        <v>0</v>
      </c>
      <c r="AE224" s="136">
        <f t="shared" si="25"/>
        <v>0</v>
      </c>
      <c r="AF224" s="137">
        <f t="shared" si="25"/>
        <v>0</v>
      </c>
      <c r="AG224" s="138">
        <f t="shared" si="25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6">AF226</f>
        <v>0</v>
      </c>
      <c r="C226" s="140">
        <v>0.3</v>
      </c>
      <c r="D226" s="140">
        <f t="shared" ref="D226:P231" si="27">C226</f>
        <v>0.3</v>
      </c>
      <c r="E226" s="140">
        <f t="shared" si="27"/>
        <v>0.3</v>
      </c>
      <c r="F226" s="140">
        <f t="shared" si="27"/>
        <v>0.3</v>
      </c>
      <c r="G226" s="140">
        <f t="shared" si="27"/>
        <v>0.3</v>
      </c>
      <c r="H226" s="140">
        <f t="shared" si="27"/>
        <v>0.3</v>
      </c>
      <c r="I226" s="140">
        <f t="shared" si="27"/>
        <v>0.3</v>
      </c>
      <c r="J226" s="140">
        <f t="shared" si="27"/>
        <v>0.3</v>
      </c>
      <c r="K226" s="140">
        <f t="shared" si="27"/>
        <v>0.3</v>
      </c>
      <c r="L226" s="140">
        <f t="shared" si="27"/>
        <v>0.3</v>
      </c>
      <c r="M226" s="140">
        <f t="shared" si="27"/>
        <v>0.3</v>
      </c>
      <c r="N226" s="140">
        <f t="shared" si="27"/>
        <v>0.3</v>
      </c>
      <c r="O226" s="140">
        <f t="shared" si="27"/>
        <v>0.3</v>
      </c>
      <c r="P226" s="140">
        <f t="shared" si="27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6"/>
        <v>0</v>
      </c>
      <c r="C227" s="128">
        <v>0.4</v>
      </c>
      <c r="D227" s="128">
        <f t="shared" si="27"/>
        <v>0.4</v>
      </c>
      <c r="E227" s="128">
        <f t="shared" si="27"/>
        <v>0.4</v>
      </c>
      <c r="F227" s="128">
        <f t="shared" si="27"/>
        <v>0.4</v>
      </c>
      <c r="G227" s="128">
        <f t="shared" si="27"/>
        <v>0.4</v>
      </c>
      <c r="H227" s="128">
        <f t="shared" si="27"/>
        <v>0.4</v>
      </c>
      <c r="I227" s="128">
        <f t="shared" si="27"/>
        <v>0.4</v>
      </c>
      <c r="J227" s="128">
        <f t="shared" si="27"/>
        <v>0.4</v>
      </c>
      <c r="K227" s="128">
        <f t="shared" si="27"/>
        <v>0.4</v>
      </c>
      <c r="L227" s="128">
        <f t="shared" si="27"/>
        <v>0.4</v>
      </c>
      <c r="M227" s="128">
        <f t="shared" si="27"/>
        <v>0.4</v>
      </c>
      <c r="N227" s="128">
        <f t="shared" si="27"/>
        <v>0.4</v>
      </c>
      <c r="O227" s="128">
        <f t="shared" si="27"/>
        <v>0.4</v>
      </c>
      <c r="P227" s="128">
        <f t="shared" si="27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6"/>
        <v>0</v>
      </c>
      <c r="C228" s="128">
        <v>1.5</v>
      </c>
      <c r="D228" s="128">
        <f t="shared" si="27"/>
        <v>1.5</v>
      </c>
      <c r="E228" s="128">
        <f t="shared" si="27"/>
        <v>1.5</v>
      </c>
      <c r="F228" s="128">
        <f t="shared" si="27"/>
        <v>1.5</v>
      </c>
      <c r="G228" s="128">
        <f t="shared" si="27"/>
        <v>1.5</v>
      </c>
      <c r="H228" s="128">
        <f t="shared" si="27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27"/>
        <v>1.5</v>
      </c>
      <c r="K228" s="128">
        <f t="shared" ca="1" si="27"/>
        <v>1.5</v>
      </c>
      <c r="L228" s="128">
        <f t="shared" ca="1" si="27"/>
        <v>1.5</v>
      </c>
      <c r="M228" s="128">
        <f t="shared" ca="1" si="27"/>
        <v>1.5</v>
      </c>
      <c r="N228" s="128">
        <f t="shared" ca="1" si="27"/>
        <v>1.5</v>
      </c>
      <c r="O228" s="128">
        <f t="shared" ca="1" si="27"/>
        <v>1.5</v>
      </c>
      <c r="P228" s="128">
        <f t="shared" ca="1" si="27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6"/>
        <v>0</v>
      </c>
      <c r="C229" s="128">
        <v>0.3</v>
      </c>
      <c r="D229" s="128">
        <f t="shared" si="27"/>
        <v>0.3</v>
      </c>
      <c r="E229" s="128">
        <f t="shared" si="27"/>
        <v>0.3</v>
      </c>
      <c r="F229" s="128">
        <f t="shared" si="27"/>
        <v>0.3</v>
      </c>
      <c r="G229" s="128">
        <f t="shared" si="27"/>
        <v>0.3</v>
      </c>
      <c r="H229" s="128">
        <f t="shared" si="27"/>
        <v>0.3</v>
      </c>
      <c r="I229" s="128">
        <f t="shared" si="27"/>
        <v>0.3</v>
      </c>
      <c r="J229" s="128">
        <f t="shared" si="27"/>
        <v>0.3</v>
      </c>
      <c r="K229" s="128">
        <f t="shared" si="27"/>
        <v>0.3</v>
      </c>
      <c r="L229" s="128">
        <f t="shared" si="27"/>
        <v>0.3</v>
      </c>
      <c r="M229" s="128">
        <f t="shared" si="27"/>
        <v>0.3</v>
      </c>
      <c r="N229" s="128">
        <f t="shared" si="27"/>
        <v>0.3</v>
      </c>
      <c r="O229" s="128">
        <f t="shared" si="27"/>
        <v>0.3</v>
      </c>
      <c r="P229" s="128">
        <f t="shared" si="27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6"/>
        <v>0</v>
      </c>
      <c r="C230" s="128">
        <v>0.4</v>
      </c>
      <c r="D230" s="128">
        <f t="shared" si="27"/>
        <v>0.4</v>
      </c>
      <c r="E230" s="128">
        <f t="shared" si="27"/>
        <v>0.4</v>
      </c>
      <c r="F230" s="128">
        <f t="shared" si="27"/>
        <v>0.4</v>
      </c>
      <c r="G230" s="128">
        <f t="shared" si="27"/>
        <v>0.4</v>
      </c>
      <c r="H230" s="128">
        <f t="shared" si="27"/>
        <v>0.4</v>
      </c>
      <c r="I230" s="128">
        <f t="shared" si="27"/>
        <v>0.4</v>
      </c>
      <c r="J230" s="128">
        <f t="shared" si="27"/>
        <v>0.4</v>
      </c>
      <c r="K230" s="128">
        <f t="shared" si="27"/>
        <v>0.4</v>
      </c>
      <c r="L230" s="128">
        <f t="shared" si="27"/>
        <v>0.4</v>
      </c>
      <c r="M230" s="128">
        <f t="shared" si="27"/>
        <v>0.4</v>
      </c>
      <c r="N230" s="128">
        <f t="shared" si="27"/>
        <v>0.4</v>
      </c>
      <c r="O230" s="128">
        <f t="shared" si="27"/>
        <v>0.4</v>
      </c>
      <c r="P230" s="128">
        <f t="shared" si="27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6"/>
        <v>0</v>
      </c>
      <c r="C231" s="132">
        <v>0.64</v>
      </c>
      <c r="D231" s="132">
        <f t="shared" si="27"/>
        <v>0.64</v>
      </c>
      <c r="E231" s="132">
        <f t="shared" si="27"/>
        <v>0.64</v>
      </c>
      <c r="F231" s="132">
        <f t="shared" si="27"/>
        <v>0.64</v>
      </c>
      <c r="G231" s="132">
        <f t="shared" si="27"/>
        <v>0.64</v>
      </c>
      <c r="H231" s="132">
        <f t="shared" si="27"/>
        <v>0.64</v>
      </c>
      <c r="I231" s="132">
        <f t="shared" si="27"/>
        <v>0.64</v>
      </c>
      <c r="J231" s="132">
        <f t="shared" si="27"/>
        <v>0.64</v>
      </c>
      <c r="K231" s="132">
        <f t="shared" si="27"/>
        <v>0.64</v>
      </c>
      <c r="L231" s="132">
        <f t="shared" si="27"/>
        <v>0.64</v>
      </c>
      <c r="M231" s="132">
        <f t="shared" si="27"/>
        <v>0.64</v>
      </c>
      <c r="N231" s="132">
        <f t="shared" si="27"/>
        <v>0.64</v>
      </c>
      <c r="O231" s="132">
        <f t="shared" si="27"/>
        <v>0.64</v>
      </c>
      <c r="P231" s="132">
        <f t="shared" si="27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8">SUM(B226:B231)</f>
        <v>0</v>
      </c>
      <c r="C232" s="136">
        <f t="shared" si="28"/>
        <v>3.54</v>
      </c>
      <c r="D232" s="136">
        <f t="shared" si="28"/>
        <v>3.54</v>
      </c>
      <c r="E232" s="136">
        <f t="shared" si="28"/>
        <v>3.54</v>
      </c>
      <c r="F232" s="136">
        <f t="shared" si="28"/>
        <v>3.54</v>
      </c>
      <c r="G232" s="136">
        <f t="shared" si="28"/>
        <v>3.54</v>
      </c>
      <c r="H232" s="136">
        <f t="shared" si="28"/>
        <v>3.54</v>
      </c>
      <c r="I232" s="136">
        <f t="shared" ca="1" si="28"/>
        <v>3.54</v>
      </c>
      <c r="J232" s="136">
        <f t="shared" ca="1" si="28"/>
        <v>3.54</v>
      </c>
      <c r="K232" s="136">
        <f t="shared" ca="1" si="28"/>
        <v>3.54</v>
      </c>
      <c r="L232" s="136">
        <f t="shared" ca="1" si="28"/>
        <v>3.54</v>
      </c>
      <c r="M232" s="136">
        <f t="shared" ca="1" si="28"/>
        <v>3.54</v>
      </c>
      <c r="N232" s="136">
        <f t="shared" ca="1" si="28"/>
        <v>3.54</v>
      </c>
      <c r="O232" s="136">
        <f t="shared" ca="1" si="28"/>
        <v>3.54</v>
      </c>
      <c r="P232" s="136">
        <f t="shared" ca="1" si="28"/>
        <v>3.54</v>
      </c>
      <c r="Q232" s="136">
        <f t="shared" si="28"/>
        <v>0</v>
      </c>
      <c r="R232" s="136">
        <f t="shared" si="28"/>
        <v>0</v>
      </c>
      <c r="S232" s="136">
        <f t="shared" si="28"/>
        <v>0</v>
      </c>
      <c r="T232" s="136">
        <f t="shared" si="28"/>
        <v>0</v>
      </c>
      <c r="U232" s="136">
        <f t="shared" si="28"/>
        <v>0</v>
      </c>
      <c r="V232" s="136">
        <f t="shared" si="28"/>
        <v>0</v>
      </c>
      <c r="W232" s="136">
        <f t="shared" si="28"/>
        <v>0</v>
      </c>
      <c r="X232" s="136">
        <f t="shared" si="28"/>
        <v>0</v>
      </c>
      <c r="Y232" s="136">
        <f t="shared" si="28"/>
        <v>0</v>
      </c>
      <c r="Z232" s="136">
        <f t="shared" si="28"/>
        <v>0</v>
      </c>
      <c r="AA232" s="136">
        <f t="shared" si="28"/>
        <v>0</v>
      </c>
      <c r="AB232" s="136">
        <f t="shared" si="28"/>
        <v>0</v>
      </c>
      <c r="AC232" s="136">
        <f t="shared" si="28"/>
        <v>0</v>
      </c>
      <c r="AD232" s="136">
        <f t="shared" si="28"/>
        <v>0</v>
      </c>
      <c r="AE232" s="136">
        <f t="shared" si="28"/>
        <v>0</v>
      </c>
      <c r="AF232" s="136">
        <f t="shared" si="28"/>
        <v>0</v>
      </c>
      <c r="AG232" s="145">
        <f t="shared" si="28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1424.04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28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2079/11/28)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2079/11/28)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9">B89</f>
        <v>1040.8399999999999</v>
      </c>
      <c r="U246" s="170">
        <f t="shared" si="29"/>
        <v>1019.24</v>
      </c>
      <c r="V246" s="170">
        <f t="shared" si="29"/>
        <v>987.63999999999987</v>
      </c>
      <c r="W246" s="170">
        <f t="shared" si="29"/>
        <v>996.33999999999992</v>
      </c>
      <c r="X246" s="170">
        <f t="shared" si="29"/>
        <v>1003.24</v>
      </c>
      <c r="Y246" s="170">
        <f t="shared" si="29"/>
        <v>1028.3399999999999</v>
      </c>
      <c r="Z246" s="170">
        <f t="shared" si="29"/>
        <v>1073.94</v>
      </c>
      <c r="AA246" s="170">
        <f t="shared" si="29"/>
        <v>1120.3399999999999</v>
      </c>
      <c r="AB246" s="170">
        <f t="shared" si="29"/>
        <v>1200.04</v>
      </c>
      <c r="AC246" s="170">
        <f t="shared" si="29"/>
        <v>1326.4399999999998</v>
      </c>
      <c r="AD246" s="170">
        <f t="shared" si="29"/>
        <v>1388.84</v>
      </c>
      <c r="AE246" s="170">
        <f t="shared" si="29"/>
        <v>1424.04</v>
      </c>
      <c r="AF246" s="170">
        <f t="shared" si="29"/>
        <v>1317.6399999999999</v>
      </c>
      <c r="AG246" s="170">
        <f t="shared" si="29"/>
        <v>1346.8400000000001</v>
      </c>
      <c r="AH246" s="170">
        <f t="shared" si="29"/>
        <v>1337.2400000000002</v>
      </c>
      <c r="AI246" s="170">
        <f t="shared" si="29"/>
        <v>1316.74</v>
      </c>
      <c r="AJ246" s="170">
        <f t="shared" si="29"/>
        <v>1296.94</v>
      </c>
      <c r="AK246" s="170">
        <f t="shared" si="29"/>
        <v>1320.74</v>
      </c>
      <c r="AL246" s="170">
        <f t="shared" si="29"/>
        <v>1375.7399999999998</v>
      </c>
      <c r="AM246" s="170">
        <f t="shared" si="29"/>
        <v>1370.44</v>
      </c>
      <c r="AN246" s="170">
        <f t="shared" si="29"/>
        <v>1306.44</v>
      </c>
      <c r="AO246" s="170">
        <f t="shared" si="29"/>
        <v>1361.04</v>
      </c>
      <c r="AP246" s="170">
        <f t="shared" si="29"/>
        <v>1396.74</v>
      </c>
      <c r="AQ246" s="170">
        <f t="shared" si="29"/>
        <v>1571.1399999999999</v>
      </c>
      <c r="AR246" s="170">
        <f t="shared" si="29"/>
        <v>1549.04</v>
      </c>
      <c r="AS246" s="170">
        <f t="shared" si="29"/>
        <v>1487.4399999999998</v>
      </c>
      <c r="AT246" s="170">
        <f t="shared" si="29"/>
        <v>1401.8399999999997</v>
      </c>
      <c r="AU246" s="170">
        <f t="shared" si="29"/>
        <v>1340.94</v>
      </c>
      <c r="AV246" s="170">
        <f t="shared" si="29"/>
        <v>1218.1399999999999</v>
      </c>
      <c r="AW246" s="170">
        <f t="shared" si="29"/>
        <v>1164.94</v>
      </c>
      <c r="AX246" s="170">
        <f t="shared" si="29"/>
        <v>1078.94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0">C231</f>
        <v>0.64</v>
      </c>
      <c r="C267" s="173">
        <f t="shared" si="30"/>
        <v>0.64</v>
      </c>
      <c r="D267" s="173">
        <f t="shared" si="30"/>
        <v>0.64</v>
      </c>
      <c r="E267" s="173">
        <f t="shared" si="30"/>
        <v>0.64</v>
      </c>
      <c r="F267" s="173">
        <f t="shared" si="30"/>
        <v>0.64</v>
      </c>
      <c r="G267" s="173">
        <f t="shared" si="30"/>
        <v>0.64</v>
      </c>
      <c r="H267" s="173">
        <f t="shared" si="30"/>
        <v>0.64</v>
      </c>
      <c r="I267" s="173">
        <f t="shared" si="30"/>
        <v>0.64</v>
      </c>
      <c r="J267" s="173">
        <f t="shared" si="30"/>
        <v>0.64</v>
      </c>
      <c r="K267" s="173">
        <f t="shared" si="30"/>
        <v>0.64</v>
      </c>
      <c r="L267" s="173">
        <f t="shared" si="30"/>
        <v>0.64</v>
      </c>
      <c r="M267" s="173">
        <f t="shared" si="30"/>
        <v>0.64</v>
      </c>
      <c r="N267" s="173">
        <f t="shared" si="30"/>
        <v>0.64</v>
      </c>
      <c r="O267" s="173">
        <f t="shared" si="30"/>
        <v>0.64</v>
      </c>
      <c r="P267" s="173">
        <f t="shared" si="30"/>
        <v>0</v>
      </c>
      <c r="Q267" s="173">
        <f t="shared" si="30"/>
        <v>0</v>
      </c>
      <c r="R267" s="173">
        <f t="shared" si="30"/>
        <v>0</v>
      </c>
      <c r="S267" s="173">
        <f t="shared" si="30"/>
        <v>0</v>
      </c>
      <c r="T267" s="173">
        <f t="shared" si="30"/>
        <v>0</v>
      </c>
      <c r="U267" s="173">
        <f t="shared" si="30"/>
        <v>0</v>
      </c>
      <c r="V267" s="173">
        <f t="shared" si="30"/>
        <v>0</v>
      </c>
      <c r="W267" s="173">
        <f t="shared" si="30"/>
        <v>0</v>
      </c>
      <c r="X267" s="173">
        <f t="shared" si="30"/>
        <v>0</v>
      </c>
      <c r="Y267" s="173">
        <f t="shared" si="30"/>
        <v>0</v>
      </c>
      <c r="Z267" s="173">
        <f t="shared" si="30"/>
        <v>0</v>
      </c>
      <c r="AA267" s="173">
        <f t="shared" si="30"/>
        <v>0</v>
      </c>
      <c r="AB267" s="173">
        <f t="shared" si="30"/>
        <v>0</v>
      </c>
      <c r="AC267" s="173">
        <f t="shared" si="30"/>
        <v>0</v>
      </c>
      <c r="AD267" s="173">
        <f t="shared" si="30"/>
        <v>0</v>
      </c>
      <c r="AE267" s="173">
        <f t="shared" si="30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1">IF(B235&lt;100,"",B235-520)</f>
        <v/>
      </c>
      <c r="C268" s="174" t="str">
        <f t="shared" si="31"/>
        <v/>
      </c>
      <c r="D268" s="174" t="str">
        <f t="shared" si="31"/>
        <v/>
      </c>
      <c r="E268" s="174" t="str">
        <f t="shared" si="31"/>
        <v/>
      </c>
      <c r="F268" s="174" t="str">
        <f t="shared" si="31"/>
        <v/>
      </c>
      <c r="G268" s="174" t="str">
        <f t="shared" si="31"/>
        <v/>
      </c>
      <c r="H268" s="174" t="str">
        <f t="shared" si="31"/>
        <v/>
      </c>
      <c r="I268" s="174" t="str">
        <f t="shared" si="31"/>
        <v/>
      </c>
      <c r="J268" s="174" t="str">
        <f t="shared" si="31"/>
        <v/>
      </c>
      <c r="K268" s="174" t="str">
        <f t="shared" si="31"/>
        <v/>
      </c>
      <c r="L268" s="174" t="str">
        <f t="shared" si="31"/>
        <v/>
      </c>
      <c r="M268" s="174" t="str">
        <f t="shared" si="31"/>
        <v/>
      </c>
      <c r="N268" s="174" t="str">
        <f t="shared" si="31"/>
        <v/>
      </c>
      <c r="O268" s="174" t="str">
        <f t="shared" si="31"/>
        <v/>
      </c>
      <c r="P268" s="174" t="str">
        <f t="shared" si="31"/>
        <v/>
      </c>
      <c r="Q268" s="174" t="str">
        <f t="shared" si="31"/>
        <v/>
      </c>
      <c r="R268" s="174" t="str">
        <f t="shared" si="31"/>
        <v/>
      </c>
      <c r="S268" s="174" t="str">
        <f t="shared" si="31"/>
        <v/>
      </c>
      <c r="T268" s="174" t="str">
        <f t="shared" si="31"/>
        <v/>
      </c>
      <c r="U268" s="174" t="str">
        <f t="shared" si="31"/>
        <v/>
      </c>
      <c r="V268" s="174" t="str">
        <f t="shared" si="31"/>
        <v/>
      </c>
      <c r="W268" s="174" t="str">
        <f t="shared" si="31"/>
        <v/>
      </c>
      <c r="X268" s="174" t="str">
        <f t="shared" si="31"/>
        <v/>
      </c>
      <c r="Y268" s="174" t="str">
        <f t="shared" si="31"/>
        <v/>
      </c>
      <c r="Z268" s="174" t="str">
        <f t="shared" si="31"/>
        <v/>
      </c>
      <c r="AA268" s="174" t="str">
        <f t="shared" si="31"/>
        <v/>
      </c>
      <c r="AB268" s="174" t="str">
        <f t="shared" si="31"/>
        <v/>
      </c>
      <c r="AC268" s="174" t="str">
        <f t="shared" si="31"/>
        <v/>
      </c>
      <c r="AD268" s="174" t="str">
        <f t="shared" si="31"/>
        <v/>
      </c>
      <c r="AE268" s="174" t="str">
        <f t="shared" si="31"/>
        <v/>
      </c>
      <c r="AF268" s="174" t="str">
        <f t="shared" si="31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2">IF(B236&lt;100,"",B236-620)</f>
        <v/>
      </c>
      <c r="C269" s="174" t="str">
        <f t="shared" si="32"/>
        <v/>
      </c>
      <c r="D269" s="174" t="str">
        <f t="shared" si="32"/>
        <v/>
      </c>
      <c r="E269" s="174" t="str">
        <f t="shared" si="32"/>
        <v/>
      </c>
      <c r="F269" s="174" t="str">
        <f t="shared" si="32"/>
        <v/>
      </c>
      <c r="G269" s="174" t="str">
        <f t="shared" si="32"/>
        <v/>
      </c>
      <c r="H269" s="174" t="str">
        <f t="shared" si="32"/>
        <v/>
      </c>
      <c r="I269" s="174" t="str">
        <f t="shared" si="32"/>
        <v/>
      </c>
      <c r="J269" s="174" t="str">
        <f t="shared" si="32"/>
        <v/>
      </c>
      <c r="K269" s="174" t="str">
        <f t="shared" si="32"/>
        <v/>
      </c>
      <c r="L269" s="174" t="str">
        <f t="shared" si="32"/>
        <v/>
      </c>
      <c r="M269" s="174" t="str">
        <f t="shared" si="32"/>
        <v/>
      </c>
      <c r="N269" s="174" t="str">
        <f t="shared" si="32"/>
        <v/>
      </c>
      <c r="O269" s="174" t="str">
        <f t="shared" si="32"/>
        <v/>
      </c>
      <c r="P269" s="174" t="str">
        <f t="shared" si="32"/>
        <v/>
      </c>
      <c r="Q269" s="174" t="str">
        <f t="shared" si="32"/>
        <v/>
      </c>
      <c r="R269" s="174" t="str">
        <f t="shared" si="32"/>
        <v/>
      </c>
      <c r="S269" s="174" t="str">
        <f t="shared" si="32"/>
        <v/>
      </c>
      <c r="T269" s="174" t="str">
        <f t="shared" si="32"/>
        <v/>
      </c>
      <c r="U269" s="174" t="str">
        <f t="shared" si="32"/>
        <v/>
      </c>
      <c r="V269" s="174" t="str">
        <f t="shared" si="32"/>
        <v/>
      </c>
      <c r="W269" s="174" t="str">
        <f t="shared" si="32"/>
        <v/>
      </c>
      <c r="X269" s="174" t="str">
        <f t="shared" si="32"/>
        <v/>
      </c>
      <c r="Y269" s="174" t="str">
        <f t="shared" si="32"/>
        <v/>
      </c>
      <c r="Z269" s="174" t="str">
        <f t="shared" si="32"/>
        <v/>
      </c>
      <c r="AA269" s="174" t="str">
        <f t="shared" si="32"/>
        <v/>
      </c>
      <c r="AB269" s="174" t="str">
        <f t="shared" si="32"/>
        <v/>
      </c>
      <c r="AC269" s="174" t="str">
        <f t="shared" si="32"/>
        <v/>
      </c>
      <c r="AD269" s="174" t="str">
        <f t="shared" si="32"/>
        <v/>
      </c>
      <c r="AE269" s="174" t="str">
        <f t="shared" si="32"/>
        <v/>
      </c>
      <c r="AF269" s="174" t="str">
        <f t="shared" si="32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3">IF(B237&lt;100,"",B237-330)</f>
        <v/>
      </c>
      <c r="C270" s="174" t="str">
        <f t="shared" si="33"/>
        <v/>
      </c>
      <c r="D270" s="174" t="str">
        <f t="shared" si="33"/>
        <v/>
      </c>
      <c r="E270" s="174" t="str">
        <f t="shared" si="33"/>
        <v/>
      </c>
      <c r="F270" s="174" t="str">
        <f t="shared" si="33"/>
        <v/>
      </c>
      <c r="G270" s="174" t="str">
        <f t="shared" si="33"/>
        <v/>
      </c>
      <c r="H270" s="174" t="str">
        <f t="shared" si="33"/>
        <v/>
      </c>
      <c r="I270" s="174" t="str">
        <f t="shared" si="33"/>
        <v/>
      </c>
      <c r="J270" s="174" t="str">
        <f t="shared" si="33"/>
        <v/>
      </c>
      <c r="K270" s="174" t="str">
        <f t="shared" si="33"/>
        <v/>
      </c>
      <c r="L270" s="174" t="str">
        <f t="shared" si="33"/>
        <v/>
      </c>
      <c r="M270" s="174" t="str">
        <f t="shared" si="33"/>
        <v/>
      </c>
      <c r="N270" s="174" t="str">
        <f t="shared" si="33"/>
        <v/>
      </c>
      <c r="O270" s="174" t="str">
        <f t="shared" si="33"/>
        <v/>
      </c>
      <c r="P270" s="174" t="str">
        <f t="shared" si="33"/>
        <v/>
      </c>
      <c r="Q270" s="174" t="str">
        <f t="shared" si="33"/>
        <v/>
      </c>
      <c r="R270" s="174" t="str">
        <f t="shared" si="33"/>
        <v/>
      </c>
      <c r="S270" s="174" t="str">
        <f t="shared" si="33"/>
        <v/>
      </c>
      <c r="T270" s="174" t="str">
        <f t="shared" si="33"/>
        <v/>
      </c>
      <c r="U270" s="174" t="str">
        <f t="shared" si="33"/>
        <v/>
      </c>
      <c r="V270" s="174" t="str">
        <f t="shared" si="33"/>
        <v/>
      </c>
      <c r="W270" s="174" t="str">
        <f t="shared" si="33"/>
        <v/>
      </c>
      <c r="X270" s="174" t="str">
        <f t="shared" si="33"/>
        <v/>
      </c>
      <c r="Y270" s="174" t="str">
        <f t="shared" si="33"/>
        <v/>
      </c>
      <c r="Z270" s="174" t="str">
        <f t="shared" si="33"/>
        <v/>
      </c>
      <c r="AA270" s="174" t="str">
        <f t="shared" si="33"/>
        <v/>
      </c>
      <c r="AB270" s="174" t="str">
        <f t="shared" si="33"/>
        <v/>
      </c>
      <c r="AC270" s="174" t="str">
        <f t="shared" si="33"/>
        <v/>
      </c>
      <c r="AD270" s="174" t="str">
        <f t="shared" si="33"/>
        <v/>
      </c>
      <c r="AE270" s="174" t="str">
        <f t="shared" si="33"/>
        <v/>
      </c>
      <c r="AF270" s="174" t="str">
        <f t="shared" si="33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4">IF(B238&lt;100,"",B238-1500)</f>
        <v/>
      </c>
      <c r="C271" s="174" t="str">
        <f t="shared" si="34"/>
        <v/>
      </c>
      <c r="D271" s="174" t="str">
        <f t="shared" si="34"/>
        <v/>
      </c>
      <c r="E271" s="174" t="str">
        <f t="shared" si="34"/>
        <v/>
      </c>
      <c r="F271" s="174" t="str">
        <f t="shared" si="34"/>
        <v/>
      </c>
      <c r="G271" s="174" t="str">
        <f t="shared" si="34"/>
        <v/>
      </c>
      <c r="H271" s="174" t="str">
        <f t="shared" si="34"/>
        <v/>
      </c>
      <c r="I271" s="174" t="str">
        <f t="shared" si="34"/>
        <v/>
      </c>
      <c r="J271" s="174" t="str">
        <f t="shared" si="34"/>
        <v/>
      </c>
      <c r="K271" s="174" t="str">
        <f t="shared" si="34"/>
        <v/>
      </c>
      <c r="L271" s="174" t="str">
        <f t="shared" si="34"/>
        <v/>
      </c>
      <c r="M271" s="174" t="str">
        <f t="shared" si="34"/>
        <v/>
      </c>
      <c r="N271" s="174" t="str">
        <f t="shared" si="34"/>
        <v/>
      </c>
      <c r="O271" s="174" t="str">
        <f t="shared" si="34"/>
        <v/>
      </c>
      <c r="P271" s="174" t="str">
        <f t="shared" si="34"/>
        <v/>
      </c>
      <c r="Q271" s="174" t="str">
        <f t="shared" si="34"/>
        <v/>
      </c>
      <c r="R271" s="174" t="str">
        <f t="shared" si="34"/>
        <v/>
      </c>
      <c r="S271" s="174" t="str">
        <f t="shared" si="34"/>
        <v/>
      </c>
      <c r="T271" s="174" t="str">
        <f t="shared" si="34"/>
        <v/>
      </c>
      <c r="U271" s="174" t="str">
        <f t="shared" si="34"/>
        <v/>
      </c>
      <c r="V271" s="174" t="str">
        <f t="shared" si="34"/>
        <v/>
      </c>
      <c r="W271" s="174" t="str">
        <f t="shared" si="34"/>
        <v/>
      </c>
      <c r="X271" s="174" t="str">
        <f t="shared" si="34"/>
        <v/>
      </c>
      <c r="Y271" s="174" t="str">
        <f t="shared" si="34"/>
        <v/>
      </c>
      <c r="Z271" s="174" t="str">
        <f t="shared" si="34"/>
        <v/>
      </c>
      <c r="AA271" s="174" t="str">
        <f t="shared" si="34"/>
        <v/>
      </c>
      <c r="AB271" s="174" t="str">
        <f t="shared" si="34"/>
        <v/>
      </c>
      <c r="AC271" s="174" t="str">
        <f t="shared" si="34"/>
        <v/>
      </c>
      <c r="AD271" s="174" t="str">
        <f t="shared" si="34"/>
        <v/>
      </c>
      <c r="AE271" s="174" t="str">
        <f t="shared" si="34"/>
        <v/>
      </c>
      <c r="AF271" s="174" t="str">
        <f t="shared" si="34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10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568" priority="506">
      <formula>B$9&gt;=20/24</formula>
    </cfRule>
    <cfRule type="expression" dxfId="2567" priority="507">
      <formula>AND(B$9&gt;=14/24,B$9&lt;20/24)</formula>
    </cfRule>
    <cfRule type="expression" dxfId="2566" priority="508">
      <formula>AND(B$9&gt;=8/24,B$9&lt;14/24)</formula>
    </cfRule>
    <cfRule type="expression" dxfId="2565" priority="509">
      <formula>B$9&lt;8/24</formula>
    </cfRule>
  </conditionalFormatting>
  <conditionalFormatting sqref="AL4:AL6">
    <cfRule type="iconSet" priority="505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564" priority="504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563" priority="503">
      <formula>$AH12=0</formula>
    </cfRule>
  </conditionalFormatting>
  <conditionalFormatting sqref="A114">
    <cfRule type="expression" dxfId="2562" priority="502">
      <formula>$AH114=0</formula>
    </cfRule>
  </conditionalFormatting>
  <conditionalFormatting sqref="AL42">
    <cfRule type="iconSet" priority="501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561" priority="500">
      <formula>$AH45=0</formula>
    </cfRule>
  </conditionalFormatting>
  <conditionalFormatting sqref="A98">
    <cfRule type="expression" dxfId="2560" priority="499">
      <formula>$AH98=0</formula>
    </cfRule>
  </conditionalFormatting>
  <conditionalFormatting sqref="A18">
    <cfRule type="expression" dxfId="2559" priority="498">
      <formula>$AH18=0</formula>
    </cfRule>
  </conditionalFormatting>
  <conditionalFormatting sqref="A196:A201">
    <cfRule type="expression" dxfId="2558" priority="497">
      <formula>$AH196=0</formula>
    </cfRule>
  </conditionalFormatting>
  <conditionalFormatting sqref="A190:A195">
    <cfRule type="expression" dxfId="2557" priority="496">
      <formula>$AH190=0</formula>
    </cfRule>
  </conditionalFormatting>
  <conditionalFormatting sqref="A58">
    <cfRule type="expression" dxfId="2556" priority="495">
      <formula>$AH58=0</formula>
    </cfRule>
  </conditionalFormatting>
  <conditionalFormatting sqref="A94">
    <cfRule type="expression" dxfId="2555" priority="494">
      <formula>$AH94=0</formula>
    </cfRule>
  </conditionalFormatting>
  <conditionalFormatting sqref="AD99:AF99 E99:X99">
    <cfRule type="expression" dxfId="2554" priority="490">
      <formula>E$9&gt;=20/24</formula>
    </cfRule>
    <cfRule type="expression" dxfId="2553" priority="491">
      <formula>AND(E$9&gt;=14/24,E$9&lt;20/24)</formula>
    </cfRule>
    <cfRule type="expression" dxfId="2552" priority="492">
      <formula>AND(E$9&gt;=8/24,E$9&lt;14/24)</formula>
    </cfRule>
    <cfRule type="expression" dxfId="2551" priority="493">
      <formula>E$9&lt;8/24</formula>
    </cfRule>
  </conditionalFormatting>
  <conditionalFormatting sqref="AL43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550" priority="512">
      <formula>C$9&gt;=20/24</formula>
    </cfRule>
    <cfRule type="expression" dxfId="2549" priority="513">
      <formula>AND(C$9&gt;=14/24,C$9&lt;20/24)</formula>
    </cfRule>
    <cfRule type="expression" dxfId="2548" priority="514">
      <formula>AND(C$9&gt;=8/24,C$9&lt;14/24)</formula>
    </cfRule>
    <cfRule type="expression" dxfId="2547" priority="515">
      <formula>C$9&lt;8/24</formula>
    </cfRule>
  </conditionalFormatting>
  <conditionalFormatting sqref="A233">
    <cfRule type="expression" dxfId="2546" priority="516">
      <formula>$AH233=0</formula>
    </cfRule>
  </conditionalFormatting>
  <conditionalFormatting sqref="AG245">
    <cfRule type="expression" dxfId="2545" priority="517">
      <formula>B$9&gt;=20/24</formula>
    </cfRule>
    <cfRule type="expression" dxfId="2544" priority="518">
      <formula>AND(B$9&gt;=14/24,B$9&lt;20/24)</formula>
    </cfRule>
    <cfRule type="expression" dxfId="2543" priority="519">
      <formula>AND(B$9&gt;=8/24,B$9&lt;14/24)</formula>
    </cfRule>
    <cfRule type="expression" dxfId="2542" priority="520">
      <formula>B$9&lt;8/24</formula>
    </cfRule>
  </conditionalFormatting>
  <conditionalFormatting sqref="S8">
    <cfRule type="expression" dxfId="2541" priority="485">
      <formula>U$9&gt;=20/24</formula>
    </cfRule>
    <cfRule type="expression" dxfId="2540" priority="486">
      <formula>AND(U$9&gt;=14/24,U$9&lt;20/24)</formula>
    </cfRule>
    <cfRule type="expression" dxfId="2539" priority="487">
      <formula>AND(U$9&gt;=8/24,U$9&lt;14/24)</formula>
    </cfRule>
    <cfRule type="expression" dxfId="2538" priority="488">
      <formula>U$9&lt;8/24</formula>
    </cfRule>
  </conditionalFormatting>
  <conditionalFormatting sqref="AB8">
    <cfRule type="expression" dxfId="2537" priority="481">
      <formula>AD$9&gt;=20/24</formula>
    </cfRule>
    <cfRule type="expression" dxfId="2536" priority="482">
      <formula>AND(AD$9&gt;=14/24,AD$9&lt;20/24)</formula>
    </cfRule>
    <cfRule type="expression" dxfId="2535" priority="483">
      <formula>AND(AD$9&gt;=8/24,AD$9&lt;14/24)</formula>
    </cfRule>
    <cfRule type="expression" dxfId="2534" priority="484">
      <formula>AD$9&lt;8/24</formula>
    </cfRule>
  </conditionalFormatting>
  <conditionalFormatting sqref="AH245:AX245">
    <cfRule type="expression" dxfId="2533" priority="521">
      <formula>AG$9&gt;=20/24</formula>
    </cfRule>
    <cfRule type="expression" dxfId="2532" priority="522">
      <formula>AND(AG$9&gt;=14/24,AG$9&lt;20/24)</formula>
    </cfRule>
    <cfRule type="expression" dxfId="2531" priority="523">
      <formula>AND(AG$9&gt;=8/24,AG$9&lt;14/24)</formula>
    </cfRule>
    <cfRule type="expression" dxfId="2530" priority="524">
      <formula>AG$9&lt;8/24</formula>
    </cfRule>
  </conditionalFormatting>
  <conditionalFormatting sqref="T245">
    <cfRule type="expression" dxfId="2529" priority="525">
      <formula>AX$9&gt;=20/24</formula>
    </cfRule>
    <cfRule type="expression" dxfId="2528" priority="526">
      <formula>AND(AX$9&gt;=14/24,AX$9&lt;20/24)</formula>
    </cfRule>
    <cfRule type="expression" dxfId="2527" priority="527">
      <formula>AND(AX$9&gt;=8/24,AX$9&lt;14/24)</formula>
    </cfRule>
    <cfRule type="expression" dxfId="2526" priority="528">
      <formula>AX$9&lt;8/24</formula>
    </cfRule>
  </conditionalFormatting>
  <conditionalFormatting sqref="A115:A116">
    <cfRule type="expression" dxfId="2525" priority="480">
      <formula>$AH115=0</formula>
    </cfRule>
  </conditionalFormatting>
  <conditionalFormatting sqref="N54:Q60 R60:X60 Y56:AF57 E71:AF71">
    <cfRule type="expression" dxfId="2524" priority="476">
      <formula>E$9&gt;=20/24</formula>
    </cfRule>
    <cfRule type="expression" dxfId="2523" priority="477">
      <formula>AND(E$9&gt;=14/24,E$9&lt;20/24)</formula>
    </cfRule>
    <cfRule type="expression" dxfId="2522" priority="478">
      <formula>AND(E$9&gt;=8/24,E$9&lt;14/24)</formula>
    </cfRule>
    <cfRule type="expression" dxfId="2521" priority="479">
      <formula>E$9&lt;8/24</formula>
    </cfRule>
  </conditionalFormatting>
  <conditionalFormatting sqref="N53:Q53">
    <cfRule type="expression" dxfId="2520" priority="472">
      <formula>N$9&gt;=20/24</formula>
    </cfRule>
    <cfRule type="expression" dxfId="2519" priority="473">
      <formula>AND(N$9&gt;=14/24,N$9&lt;20/24)</formula>
    </cfRule>
    <cfRule type="expression" dxfId="2518" priority="474">
      <formula>AND(N$9&gt;=8/24,N$9&lt;14/24)</formula>
    </cfRule>
    <cfRule type="expression" dxfId="2517" priority="475">
      <formula>N$9&lt;8/24</formula>
    </cfRule>
  </conditionalFormatting>
  <conditionalFormatting sqref="N53:Q60 R60:X60 Y56:AF57">
    <cfRule type="expression" dxfId="2516" priority="471">
      <formula>N53&gt;$AG53</formula>
    </cfRule>
  </conditionalFormatting>
  <conditionalFormatting sqref="D86:AF86 X47:AF47 X96:AF96 AD100:AF106 E72:X73 M100:X106 Y67:AF69 Y72:AF74">
    <cfRule type="expression" dxfId="2515" priority="467">
      <formula>D$9&gt;=20/24</formula>
    </cfRule>
    <cfRule type="expression" dxfId="2514" priority="468">
      <formula>AND(D$9&gt;=14/24,D$9&lt;20/24)</formula>
    </cfRule>
    <cfRule type="expression" dxfId="2513" priority="469">
      <formula>AND(D$9&gt;=8/24,D$9&lt;14/24)</formula>
    </cfRule>
    <cfRule type="expression" dxfId="2512" priority="470">
      <formula>D$9&lt;8/24</formula>
    </cfRule>
  </conditionalFormatting>
  <conditionalFormatting sqref="X47:AF47 Y67:AF69">
    <cfRule type="expression" dxfId="2511" priority="466">
      <formula>X47&gt;$AG47</formula>
    </cfRule>
  </conditionalFormatting>
  <conditionalFormatting sqref="R53:X59 Y53:AF55">
    <cfRule type="expression" dxfId="2510" priority="462">
      <formula>R$9&gt;=20/24</formula>
    </cfRule>
    <cfRule type="expression" dxfId="2509" priority="463">
      <formula>AND(R$9&gt;=14/24,R$9&lt;20/24)</formula>
    </cfRule>
    <cfRule type="expression" dxfId="2508" priority="464">
      <formula>AND(R$9&gt;=8/24,R$9&lt;14/24)</formula>
    </cfRule>
    <cfRule type="expression" dxfId="2507" priority="465">
      <formula>R$9&lt;8/24</formula>
    </cfRule>
  </conditionalFormatting>
  <conditionalFormatting sqref="R53:X59 Y53:AF55">
    <cfRule type="expression" dxfId="2506" priority="461">
      <formula>R53&gt;$AG53</formula>
    </cfRule>
  </conditionalFormatting>
  <conditionalFormatting sqref="C97:AF97 D88:AF88">
    <cfRule type="expression" dxfId="2505" priority="457">
      <formula>C$9&gt;=20/24</formula>
    </cfRule>
    <cfRule type="expression" dxfId="2504" priority="458">
      <formula>AND(C$9&gt;=14/24,C$9&lt;20/24)</formula>
    </cfRule>
    <cfRule type="expression" dxfId="2503" priority="459">
      <formula>AND(C$9&gt;=8/24,C$9&lt;14/24)</formula>
    </cfRule>
    <cfRule type="expression" dxfId="2502" priority="460">
      <formula>C$9&lt;8/24</formula>
    </cfRule>
  </conditionalFormatting>
  <conditionalFormatting sqref="T47:W47">
    <cfRule type="expression" dxfId="2501" priority="453">
      <formula>T$9&gt;=20/24</formula>
    </cfRule>
    <cfRule type="expression" dxfId="2500" priority="454">
      <formula>AND(T$9&gt;=14/24,T$9&lt;20/24)</formula>
    </cfRule>
    <cfRule type="expression" dxfId="2499" priority="455">
      <formula>AND(T$9&gt;=8/24,T$9&lt;14/24)</formula>
    </cfRule>
    <cfRule type="expression" dxfId="2498" priority="456">
      <formula>T$9&lt;8/24</formula>
    </cfRule>
  </conditionalFormatting>
  <conditionalFormatting sqref="T47:W47">
    <cfRule type="expression" dxfId="2497" priority="452">
      <formula>T47&gt;$AG47</formula>
    </cfRule>
  </conditionalFormatting>
  <conditionalFormatting sqref="H54:M55">
    <cfRule type="expression" dxfId="2496" priority="448">
      <formula>H$9&gt;=20/24</formula>
    </cfRule>
    <cfRule type="expression" dxfId="2495" priority="449">
      <formula>AND(H$9&gt;=14/24,H$9&lt;20/24)</formula>
    </cfRule>
    <cfRule type="expression" dxfId="2494" priority="450">
      <formula>AND(H$9&gt;=8/24,H$9&lt;14/24)</formula>
    </cfRule>
    <cfRule type="expression" dxfId="2493" priority="451">
      <formula>H$9&lt;8/24</formula>
    </cfRule>
  </conditionalFormatting>
  <conditionalFormatting sqref="H53:M53">
    <cfRule type="expression" dxfId="2492" priority="444">
      <formula>H$9&gt;=20/24</formula>
    </cfRule>
    <cfRule type="expression" dxfId="2491" priority="445">
      <formula>AND(H$9&gt;=14/24,H$9&lt;20/24)</formula>
    </cfRule>
    <cfRule type="expression" dxfId="2490" priority="446">
      <formula>AND(H$9&gt;=8/24,H$9&lt;14/24)</formula>
    </cfRule>
    <cfRule type="expression" dxfId="2489" priority="447">
      <formula>H$9&lt;8/24</formula>
    </cfRule>
  </conditionalFormatting>
  <conditionalFormatting sqref="H53:M55">
    <cfRule type="expression" dxfId="2488" priority="443">
      <formula>H53&gt;$AG53</formula>
    </cfRule>
  </conditionalFormatting>
  <conditionalFormatting sqref="AG70 AG87 E100:L106 Q67:X69">
    <cfRule type="expression" dxfId="2487" priority="439">
      <formula>E$9&gt;=20/24</formula>
    </cfRule>
    <cfRule type="expression" dxfId="2486" priority="440">
      <formula>AND(E$9&gt;=14/24,E$9&lt;20/24)</formula>
    </cfRule>
    <cfRule type="expression" dxfId="2485" priority="441">
      <formula>AND(E$9&gt;=8/24,E$9&lt;14/24)</formula>
    </cfRule>
    <cfRule type="expression" dxfId="2484" priority="442">
      <formula>E$9&lt;8/24</formula>
    </cfRule>
  </conditionalFormatting>
  <conditionalFormatting sqref="AG48 AG66 AG70 Q67:X69">
    <cfRule type="expression" dxfId="2483" priority="438">
      <formula>Q48&gt;$AG48</formula>
    </cfRule>
  </conditionalFormatting>
  <conditionalFormatting sqref="Y58:AF58">
    <cfRule type="expression" dxfId="2482" priority="434">
      <formula>Y$9&gt;=20/24</formula>
    </cfRule>
    <cfRule type="expression" dxfId="2481" priority="435">
      <formula>AND(Y$9&gt;=14/24,Y$9&lt;20/24)</formula>
    </cfRule>
    <cfRule type="expression" dxfId="2480" priority="436">
      <formula>AND(Y$9&gt;=8/24,Y$9&lt;14/24)</formula>
    </cfRule>
    <cfRule type="expression" dxfId="2479" priority="437">
      <formula>Y$9&lt;8/24</formula>
    </cfRule>
  </conditionalFormatting>
  <conditionalFormatting sqref="Y58:AF58">
    <cfRule type="expression" dxfId="2478" priority="433">
      <formula>Y58&gt;$AG58</formula>
    </cfRule>
  </conditionalFormatting>
  <conditionalFormatting sqref="A43">
    <cfRule type="expression" dxfId="2477" priority="432">
      <formula>$AH43=0</formula>
    </cfRule>
  </conditionalFormatting>
  <conditionalFormatting sqref="X91:AF95">
    <cfRule type="expression" dxfId="2476" priority="428">
      <formula>X$9&gt;=20/24</formula>
    </cfRule>
    <cfRule type="expression" dxfId="2475" priority="429">
      <formula>AND(X$9&gt;=14/24,X$9&lt;20/24)</formula>
    </cfRule>
    <cfRule type="expression" dxfId="2474" priority="430">
      <formula>AND(X$9&gt;=8/24,X$9&lt;14/24)</formula>
    </cfRule>
    <cfRule type="expression" dxfId="2473" priority="431">
      <formula>X$9&lt;8/24</formula>
    </cfRule>
  </conditionalFormatting>
  <conditionalFormatting sqref="AL45 AL41 AL22:AL32 AL38:AL39 AL7:AL15 AL17:AL20 AL34:AL36">
    <cfRule type="iconSet" priority="529">
      <iconSet iconSet="3TrafficLights2" reverse="1">
        <cfvo type="percent" val="0"/>
        <cfvo type="num" val="1"/>
        <cfvo type="num" val="1"/>
      </iconSet>
    </cfRule>
  </conditionalFormatting>
  <conditionalFormatting sqref="I49:Q49 N50:Q51 R49:AF51">
    <cfRule type="expression" dxfId="2472" priority="424">
      <formula>I$9&gt;=20/24</formula>
    </cfRule>
    <cfRule type="expression" dxfId="2471" priority="425">
      <formula>AND(I$9&gt;=14/24,I$9&lt;20/24)</formula>
    </cfRule>
    <cfRule type="expression" dxfId="2470" priority="426">
      <formula>AND(I$9&gt;=8/24,I$9&lt;14/24)</formula>
    </cfRule>
    <cfRule type="expression" dxfId="2469" priority="427">
      <formula>I$9&lt;8/24</formula>
    </cfRule>
  </conditionalFormatting>
  <conditionalFormatting sqref="I49:Q49 N50:Q51 R49:AF51">
    <cfRule type="expression" dxfId="2468" priority="423">
      <formula>I49&gt;$AG49</formula>
    </cfRule>
  </conditionalFormatting>
  <conditionalFormatting sqref="AG52">
    <cfRule type="expression" dxfId="2467" priority="419">
      <formula>AG$9&gt;=20/24</formula>
    </cfRule>
    <cfRule type="expression" dxfId="2466" priority="420">
      <formula>AND(AG$9&gt;=14/24,AG$9&lt;20/24)</formula>
    </cfRule>
    <cfRule type="expression" dxfId="2465" priority="421">
      <formula>AND(AG$9&gt;=8/24,AG$9&lt;14/24)</formula>
    </cfRule>
    <cfRule type="expression" dxfId="2464" priority="422">
      <formula>AG$9&lt;8/24</formula>
    </cfRule>
  </conditionalFormatting>
  <conditionalFormatting sqref="AG52">
    <cfRule type="expression" dxfId="2463" priority="418">
      <formula>AG52&gt;$AG52</formula>
    </cfRule>
  </conditionalFormatting>
  <conditionalFormatting sqref="C107:AF107">
    <cfRule type="expression" dxfId="2462" priority="414">
      <formula>C$9&gt;=20/24</formula>
    </cfRule>
    <cfRule type="expression" dxfId="2461" priority="415">
      <formula>AND(C$9&gt;=14/24,C$9&lt;20/24)</formula>
    </cfRule>
    <cfRule type="expression" dxfId="2460" priority="416">
      <formula>AND(C$9&gt;=8/24,C$9&lt;14/24)</formula>
    </cfRule>
    <cfRule type="expression" dxfId="2459" priority="417">
      <formula>C$9&lt;8/24</formula>
    </cfRule>
  </conditionalFormatting>
  <conditionalFormatting sqref="AL40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458" priority="412">
      <formula>$AH40=0</formula>
    </cfRule>
  </conditionalFormatting>
  <conditionalFormatting sqref="A90">
    <cfRule type="expression" dxfId="2457" priority="410">
      <formula>$AH90=0</formula>
    </cfRule>
  </conditionalFormatting>
  <conditionalFormatting sqref="A87">
    <cfRule type="expression" dxfId="2456" priority="411">
      <formula>$AH87=0</formula>
    </cfRule>
  </conditionalFormatting>
  <conditionalFormatting sqref="D110:AF110">
    <cfRule type="expression" dxfId="2455" priority="406">
      <formula>D$9&gt;=20/24</formula>
    </cfRule>
    <cfRule type="expression" dxfId="2454" priority="407">
      <formula>AND(D$9&gt;=14/24,D$9&lt;20/24)</formula>
    </cfRule>
    <cfRule type="expression" dxfId="2453" priority="408">
      <formula>AND(D$9&gt;=8/24,D$9&lt;14/24)</formula>
    </cfRule>
    <cfRule type="expression" dxfId="2452" priority="409">
      <formula>D$9&lt;8/24</formula>
    </cfRule>
  </conditionalFormatting>
  <conditionalFormatting sqref="A110">
    <cfRule type="expression" dxfId="2451" priority="405">
      <formula>$AH110=0</formula>
    </cfRule>
  </conditionalFormatting>
  <conditionalFormatting sqref="A21">
    <cfRule type="expression" dxfId="2450" priority="403">
      <formula>$AH21=0</formula>
    </cfRule>
  </conditionalFormatting>
  <conditionalFormatting sqref="AL21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449" priority="401">
      <formula>$AH37=0</formula>
    </cfRule>
  </conditionalFormatting>
  <conditionalFormatting sqref="AL37">
    <cfRule type="iconSet" priority="402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448" priority="397">
      <formula>Y$9&gt;=20/24</formula>
    </cfRule>
    <cfRule type="expression" dxfId="2447" priority="398">
      <formula>AND(Y$9&gt;=14/24,Y$9&lt;20/24)</formula>
    </cfRule>
    <cfRule type="expression" dxfId="2446" priority="399">
      <formula>AND(Y$9&gt;=8/24,Y$9&lt;14/24)</formula>
    </cfRule>
    <cfRule type="expression" dxfId="2445" priority="400">
      <formula>Y$9&lt;8/24</formula>
    </cfRule>
  </conditionalFormatting>
  <conditionalFormatting sqref="Y100:AC106">
    <cfRule type="expression" dxfId="2444" priority="393">
      <formula>Y$9&gt;=20/24</formula>
    </cfRule>
    <cfRule type="expression" dxfId="2443" priority="394">
      <formula>AND(Y$9&gt;=14/24,Y$9&lt;20/24)</formula>
    </cfRule>
    <cfRule type="expression" dxfId="2442" priority="395">
      <formula>AND(Y$9&gt;=8/24,Y$9&lt;14/24)</formula>
    </cfRule>
    <cfRule type="expression" dxfId="2441" priority="396">
      <formula>Y$9&lt;8/24</formula>
    </cfRule>
  </conditionalFormatting>
  <conditionalFormatting sqref="C109 C111:C116">
    <cfRule type="expression" dxfId="2440" priority="389">
      <formula>C$9&gt;=20/24</formula>
    </cfRule>
    <cfRule type="expression" dxfId="2439" priority="390">
      <formula>AND(C$9&gt;=14/24,C$9&lt;20/24)</formula>
    </cfRule>
    <cfRule type="expression" dxfId="2438" priority="391">
      <formula>AND(C$9&gt;=8/24,C$9&lt;14/24)</formula>
    </cfRule>
    <cfRule type="expression" dxfId="2437" priority="392">
      <formula>C$9&lt;8/24</formula>
    </cfRule>
  </conditionalFormatting>
  <conditionalFormatting sqref="C47:S47">
    <cfRule type="expression" dxfId="2436" priority="385">
      <formula>C$9&gt;=20/24</formula>
    </cfRule>
    <cfRule type="expression" dxfId="2435" priority="386">
      <formula>AND(C$9&gt;=14/24,C$9&lt;20/24)</formula>
    </cfRule>
    <cfRule type="expression" dxfId="2434" priority="387">
      <formula>AND(C$9&gt;=8/24,C$9&lt;14/24)</formula>
    </cfRule>
    <cfRule type="expression" dxfId="2433" priority="388">
      <formula>C$9&lt;8/24</formula>
    </cfRule>
  </conditionalFormatting>
  <conditionalFormatting sqref="C47:S47">
    <cfRule type="expression" dxfId="2432" priority="384">
      <formula>C47&gt;$AG47</formula>
    </cfRule>
  </conditionalFormatting>
  <conditionalFormatting sqref="C99:D99">
    <cfRule type="expression" dxfId="2431" priority="380">
      <formula>C$9&gt;=20/24</formula>
    </cfRule>
    <cfRule type="expression" dxfId="2430" priority="381">
      <formula>AND(C$9&gt;=14/24,C$9&lt;20/24)</formula>
    </cfRule>
    <cfRule type="expression" dxfId="2429" priority="382">
      <formula>AND(C$9&gt;=8/24,C$9&lt;14/24)</formula>
    </cfRule>
    <cfRule type="expression" dxfId="2428" priority="383">
      <formula>C$9&lt;8/24</formula>
    </cfRule>
  </conditionalFormatting>
  <conditionalFormatting sqref="D71">
    <cfRule type="expression" dxfId="2427" priority="376">
      <formula>D$9&gt;=20/24</formula>
    </cfRule>
    <cfRule type="expression" dxfId="2426" priority="377">
      <formula>AND(D$9&gt;=14/24,D$9&lt;20/24)</formula>
    </cfRule>
    <cfRule type="expression" dxfId="2425" priority="378">
      <formula>AND(D$9&gt;=8/24,D$9&lt;14/24)</formula>
    </cfRule>
    <cfRule type="expression" dxfId="2424" priority="379">
      <formula>D$9&lt;8/24</formula>
    </cfRule>
  </conditionalFormatting>
  <conditionalFormatting sqref="C86 C73:D73 D100:D106 C96:W96 C83:AF85 D72 J67:P69 D74:W75 E76:W76 X74:X76 Y75:AF76">
    <cfRule type="expression" dxfId="2423" priority="367">
      <formula>C$9&gt;=20/24</formula>
    </cfRule>
    <cfRule type="expression" dxfId="2422" priority="368">
      <formula>AND(C$9&gt;=14/24,C$9&lt;20/24)</formula>
    </cfRule>
    <cfRule type="expression" dxfId="2421" priority="369">
      <formula>AND(C$9&gt;=8/24,C$9&lt;14/24)</formula>
    </cfRule>
    <cfRule type="expression" dxfId="2420" priority="370">
      <formula>C$9&lt;8/24</formula>
    </cfRule>
  </conditionalFormatting>
  <conditionalFormatting sqref="J67:P69">
    <cfRule type="expression" dxfId="2419" priority="366">
      <formula>J67&gt;$AG67</formula>
    </cfRule>
  </conditionalFormatting>
  <conditionalFormatting sqref="C71">
    <cfRule type="expression" dxfId="2418" priority="280">
      <formula>C$9&gt;=20/24</formula>
    </cfRule>
    <cfRule type="expression" dxfId="2417" priority="281">
      <formula>AND(C$9&gt;=14/24,C$9&lt;20/24)</formula>
    </cfRule>
    <cfRule type="expression" dxfId="2416" priority="282">
      <formula>AND(C$9&gt;=8/24,C$9&lt;14/24)</formula>
    </cfRule>
    <cfRule type="expression" dxfId="2415" priority="283">
      <formula>C$9&lt;8/24</formula>
    </cfRule>
  </conditionalFormatting>
  <conditionalFormatting sqref="C70:AF70 C87:AF87 C89:AF89 C98:AF98">
    <cfRule type="expression" dxfId="2414" priority="352">
      <formula>C$9&gt;=20/24</formula>
    </cfRule>
    <cfRule type="expression" dxfId="2413" priority="353">
      <formula>AND(C$9&gt;=14/24,C$9&lt;20/24)</formula>
    </cfRule>
    <cfRule type="expression" dxfId="2412" priority="354">
      <formula>AND(C$9&gt;=8/24,C$9&lt;14/24)</formula>
    </cfRule>
    <cfRule type="expression" dxfId="2411" priority="355">
      <formula>C$9&lt;8/24</formula>
    </cfRule>
  </conditionalFormatting>
  <conditionalFormatting sqref="C48:AF48 C65:AF66 C70:AF70">
    <cfRule type="expression" dxfId="2410" priority="351">
      <formula>C48&gt;$AG48</formula>
    </cfRule>
  </conditionalFormatting>
  <conditionalFormatting sqref="C82:AF82">
    <cfRule type="expression" dxfId="2409" priority="347">
      <formula>C$9&gt;=20/24</formula>
    </cfRule>
    <cfRule type="expression" dxfId="2408" priority="348">
      <formula>AND(C$9&gt;=14/24,C$9&lt;20/24)</formula>
    </cfRule>
    <cfRule type="expression" dxfId="2407" priority="349">
      <formula>AND(C$9&gt;=8/24,C$9&lt;14/24)</formula>
    </cfRule>
    <cfRule type="expression" dxfId="2406" priority="350">
      <formula>C$9&lt;8/24</formula>
    </cfRule>
  </conditionalFormatting>
  <conditionalFormatting sqref="C91:W95">
    <cfRule type="expression" dxfId="2405" priority="343">
      <formula>C$9&gt;=20/24</formula>
    </cfRule>
    <cfRule type="expression" dxfId="2404" priority="344">
      <formula>AND(C$9&gt;=14/24,C$9&lt;20/24)</formula>
    </cfRule>
    <cfRule type="expression" dxfId="2403" priority="345">
      <formula>AND(C$9&gt;=8/24,C$9&lt;14/24)</formula>
    </cfRule>
    <cfRule type="expression" dxfId="2402" priority="346">
      <formula>C$9&lt;8/24</formula>
    </cfRule>
  </conditionalFormatting>
  <conditionalFormatting sqref="D49:H49">
    <cfRule type="expression" dxfId="2401" priority="339">
      <formula>D$9&gt;=20/24</formula>
    </cfRule>
    <cfRule type="expression" dxfId="2400" priority="340">
      <formula>AND(D$9&gt;=14/24,D$9&lt;20/24)</formula>
    </cfRule>
    <cfRule type="expression" dxfId="2399" priority="341">
      <formula>AND(D$9&gt;=8/24,D$9&lt;14/24)</formula>
    </cfRule>
    <cfRule type="expression" dxfId="2398" priority="342">
      <formula>D$9&lt;8/24</formula>
    </cfRule>
  </conditionalFormatting>
  <conditionalFormatting sqref="D49:H49">
    <cfRule type="expression" dxfId="2397" priority="338">
      <formula>D49&gt;$AG49</formula>
    </cfRule>
  </conditionalFormatting>
  <conditionalFormatting sqref="C52:AF52">
    <cfRule type="expression" dxfId="2396" priority="334">
      <formula>C$9&gt;=20/24</formula>
    </cfRule>
    <cfRule type="expression" dxfId="2395" priority="335">
      <formula>AND(C$9&gt;=14/24,C$9&lt;20/24)</formula>
    </cfRule>
    <cfRule type="expression" dxfId="2394" priority="336">
      <formula>AND(C$9&gt;=8/24,C$9&lt;14/24)</formula>
    </cfRule>
    <cfRule type="expression" dxfId="2393" priority="337">
      <formula>C$9&lt;8/24</formula>
    </cfRule>
  </conditionalFormatting>
  <conditionalFormatting sqref="C52:AF52">
    <cfRule type="expression" dxfId="2392" priority="333">
      <formula>C52&gt;$AG52</formula>
    </cfRule>
  </conditionalFormatting>
  <conditionalFormatting sqref="C49">
    <cfRule type="expression" dxfId="2391" priority="248">
      <formula>C$9&gt;=20/24</formula>
    </cfRule>
    <cfRule type="expression" dxfId="2390" priority="249">
      <formula>AND(C$9&gt;=14/24,C$9&lt;20/24)</formula>
    </cfRule>
    <cfRule type="expression" dxfId="2389" priority="250">
      <formula>AND(C$9&gt;=8/24,C$9&lt;14/24)</formula>
    </cfRule>
    <cfRule type="expression" dxfId="2388" priority="251">
      <formula>C$9&lt;8/24</formula>
    </cfRule>
  </conditionalFormatting>
  <conditionalFormatting sqref="C110">
    <cfRule type="expression" dxfId="2387" priority="325">
      <formula>C$9&gt;=20/24</formula>
    </cfRule>
    <cfRule type="expression" dxfId="2386" priority="326">
      <formula>AND(C$9&gt;=14/24,C$9&lt;20/24)</formula>
    </cfRule>
    <cfRule type="expression" dxfId="2385" priority="327">
      <formula>AND(C$9&gt;=8/24,C$9&lt;14/24)</formula>
    </cfRule>
    <cfRule type="expression" dxfId="2384" priority="328">
      <formula>C$9&lt;8/24</formula>
    </cfRule>
  </conditionalFormatting>
  <conditionalFormatting sqref="N61:X64 Y59:AF64">
    <cfRule type="expression" dxfId="2383" priority="321">
      <formula>N$9&gt;=20/24</formula>
    </cfRule>
    <cfRule type="expression" dxfId="2382" priority="322">
      <formula>AND(N$9&gt;=14/24,N$9&lt;20/24)</formula>
    </cfRule>
    <cfRule type="expression" dxfId="2381" priority="323">
      <formula>AND(N$9&gt;=8/24,N$9&lt;14/24)</formula>
    </cfRule>
    <cfRule type="expression" dxfId="2380" priority="324">
      <formula>N$9&lt;8/24</formula>
    </cfRule>
  </conditionalFormatting>
  <conditionalFormatting sqref="N61:X64 Y59:AF64">
    <cfRule type="expression" dxfId="2379" priority="320">
      <formula>N59&gt;$AG59</formula>
    </cfRule>
  </conditionalFormatting>
  <conditionalFormatting sqref="N13:AF15">
    <cfRule type="expression" dxfId="2378" priority="319">
      <formula>N13&gt;$AG13</formula>
    </cfRule>
  </conditionalFormatting>
  <conditionalFormatting sqref="N12:AF12">
    <cfRule type="expression" dxfId="2377" priority="315">
      <formula>N$9&gt;=20/24</formula>
    </cfRule>
    <cfRule type="expression" dxfId="2376" priority="316">
      <formula>AND(N$9&gt;=14/24,N$9&lt;20/24)</formula>
    </cfRule>
    <cfRule type="expression" dxfId="2375" priority="317">
      <formula>AND(N$9&gt;=8/24,N$9&lt;14/24)</formula>
    </cfRule>
    <cfRule type="expression" dxfId="2374" priority="318">
      <formula>N$9&lt;8/24</formula>
    </cfRule>
  </conditionalFormatting>
  <conditionalFormatting sqref="N12:AF12">
    <cfRule type="expression" dxfId="2373" priority="314">
      <formula>N12&gt;$AG12</formula>
    </cfRule>
  </conditionalFormatting>
  <conditionalFormatting sqref="N13:AF15">
    <cfRule type="expression" dxfId="2372" priority="310">
      <formula>N$9&gt;=20/24</formula>
    </cfRule>
    <cfRule type="expression" dxfId="2371" priority="311">
      <formula>AND(N$9&gt;=14/24,N$9&lt;20/24)</formula>
    </cfRule>
    <cfRule type="expression" dxfId="2370" priority="312">
      <formula>AND(N$9&gt;=8/24,N$9&lt;14/24)</formula>
    </cfRule>
    <cfRule type="expression" dxfId="2369" priority="313">
      <formula>N$9&lt;8/24</formula>
    </cfRule>
  </conditionalFormatting>
  <conditionalFormatting sqref="E77:AF81">
    <cfRule type="expression" dxfId="2368" priority="302">
      <formula>E$9&gt;=20/24</formula>
    </cfRule>
    <cfRule type="expression" dxfId="2367" priority="303">
      <formula>AND(E$9&gt;=14/24,E$9&lt;20/24)</formula>
    </cfRule>
    <cfRule type="expression" dxfId="2366" priority="304">
      <formula>AND(E$9&gt;=8/24,E$9&lt;14/24)</formula>
    </cfRule>
    <cfRule type="expression" dxfId="2365" priority="305">
      <formula>E$9&lt;8/24</formula>
    </cfRule>
  </conditionalFormatting>
  <conditionalFormatting sqref="AL78:AN78 AL84:AN84 AN79:AN80">
    <cfRule type="expression" dxfId="2364" priority="298">
      <formula>AL$9&gt;=20/24</formula>
    </cfRule>
    <cfRule type="expression" dxfId="2363" priority="299">
      <formula>AND(AL$9&gt;=14/24,AL$9&lt;20/24)</formula>
    </cfRule>
    <cfRule type="expression" dxfId="2362" priority="300">
      <formula>AND(AL$9&gt;=8/24,AL$9&lt;14/24)</formula>
    </cfRule>
    <cfRule type="expression" dxfId="2361" priority="301">
      <formula>AL$9&lt;8/24</formula>
    </cfRule>
  </conditionalFormatting>
  <conditionalFormatting sqref="AN81:AN82">
    <cfRule type="expression" dxfId="2360" priority="294">
      <formula>AN$9&gt;=20/24</formula>
    </cfRule>
    <cfRule type="expression" dxfId="2359" priority="295">
      <formula>AND(AN$9&gt;=14/24,AN$9&lt;20/24)</formula>
    </cfRule>
    <cfRule type="expression" dxfId="2358" priority="296">
      <formula>AND(AN$9&gt;=8/24,AN$9&lt;14/24)</formula>
    </cfRule>
    <cfRule type="expression" dxfId="2357" priority="297">
      <formula>AN$9&lt;8/24</formula>
    </cfRule>
  </conditionalFormatting>
  <conditionalFormatting sqref="AL79:AM83">
    <cfRule type="expression" dxfId="2356" priority="530">
      <formula>AJ$9&gt;=20/24</formula>
    </cfRule>
    <cfRule type="expression" dxfId="2355" priority="531">
      <formula>AND(AJ$9&gt;=14/24,AJ$9&lt;20/24)</formula>
    </cfRule>
    <cfRule type="expression" dxfId="2354" priority="532">
      <formula>AND(AJ$9&gt;=8/24,AJ$9&lt;14/24)</formula>
    </cfRule>
    <cfRule type="expression" dxfId="2353" priority="533">
      <formula>AJ$9&lt;8/24</formula>
    </cfRule>
  </conditionalFormatting>
  <conditionalFormatting sqref="A117">
    <cfRule type="expression" dxfId="2352" priority="293">
      <formula>$AH117=0</formula>
    </cfRule>
  </conditionalFormatting>
  <conditionalFormatting sqref="C72">
    <cfRule type="expression" dxfId="2351" priority="271">
      <formula>C$9&gt;=20/24</formula>
    </cfRule>
    <cfRule type="expression" dxfId="2350" priority="272">
      <formula>AND(C$9&gt;=14/24,C$9&lt;20/24)</formula>
    </cfRule>
    <cfRule type="expression" dxfId="2349" priority="273">
      <formula>AND(C$9&gt;=8/24,C$9&lt;14/24)</formula>
    </cfRule>
    <cfRule type="expression" dxfId="2348" priority="274">
      <formula>C$9&lt;8/24</formula>
    </cfRule>
  </conditionalFormatting>
  <conditionalFormatting sqref="C88">
    <cfRule type="expression" dxfId="2347" priority="266">
      <formula>C$9&gt;=20/24</formula>
    </cfRule>
    <cfRule type="expression" dxfId="2346" priority="267">
      <formula>AND(C$9&gt;=14/24,C$9&lt;20/24)</formula>
    </cfRule>
    <cfRule type="expression" dxfId="2345" priority="268">
      <formula>AND(C$9&gt;=8/24,C$9&lt;14/24)</formula>
    </cfRule>
    <cfRule type="expression" dxfId="2344" priority="269">
      <formula>C$9&lt;8/24</formula>
    </cfRule>
  </conditionalFormatting>
  <conditionalFormatting sqref="C49">
    <cfRule type="expression" dxfId="2343" priority="247">
      <formula>C49&gt;$AG49</formula>
    </cfRule>
  </conditionalFormatting>
  <conditionalFormatting sqref="A11">
    <cfRule type="expression" dxfId="2342" priority="202">
      <formula>$AH11=0</formula>
    </cfRule>
  </conditionalFormatting>
  <conditionalFormatting sqref="N11:AF11">
    <cfRule type="expression" dxfId="2341" priority="198">
      <formula>N$9&gt;=20/24</formula>
    </cfRule>
    <cfRule type="expression" dxfId="2340" priority="199">
      <formula>AND(N$9&gt;=14/24,N$9&lt;20/24)</formula>
    </cfRule>
    <cfRule type="expression" dxfId="2339" priority="200">
      <formula>AND(N$9&gt;=8/24,N$9&lt;14/24)</formula>
    </cfRule>
    <cfRule type="expression" dxfId="2338" priority="201">
      <formula>N$9&lt;8/24</formula>
    </cfRule>
  </conditionalFormatting>
  <conditionalFormatting sqref="N11:AF11">
    <cfRule type="expression" dxfId="2337" priority="197">
      <formula>N11&gt;$AG11</formula>
    </cfRule>
  </conditionalFormatting>
  <conditionalFormatting sqref="A16">
    <cfRule type="expression" dxfId="2336" priority="185">
      <formula>$AH16=0</formula>
    </cfRule>
  </conditionalFormatting>
  <conditionalFormatting sqref="AL16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N16:AF16">
    <cfRule type="expression" dxfId="2335" priority="181">
      <formula>N$9&gt;=20/24</formula>
    </cfRule>
    <cfRule type="expression" dxfId="2334" priority="182">
      <formula>AND(N$9&gt;=14/24,N$9&lt;20/24)</formula>
    </cfRule>
    <cfRule type="expression" dxfId="2333" priority="183">
      <formula>AND(N$9&gt;=8/24,N$9&lt;14/24)</formula>
    </cfRule>
    <cfRule type="expression" dxfId="2332" priority="184">
      <formula>N$9&lt;8/24</formula>
    </cfRule>
  </conditionalFormatting>
  <conditionalFormatting sqref="N16:AF16">
    <cfRule type="expression" dxfId="2331" priority="180">
      <formula>N16&gt;$AG16</formula>
    </cfRule>
  </conditionalFormatting>
  <conditionalFormatting sqref="A33">
    <cfRule type="expression" dxfId="2330" priority="168">
      <formula>$AH33=0</formula>
    </cfRule>
  </conditionalFormatting>
  <conditionalFormatting sqref="AL3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2329" priority="151">
      <formula>$AH44=0</formula>
    </cfRule>
  </conditionalFormatting>
  <conditionalFormatting sqref="AL44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2328" priority="137">
      <formula>D$9&gt;=20/24</formula>
    </cfRule>
    <cfRule type="expression" dxfId="2327" priority="138">
      <formula>AND(D$9&gt;=14/24,D$9&lt;20/24)</formula>
    </cfRule>
    <cfRule type="expression" dxfId="2326" priority="139">
      <formula>AND(D$9&gt;=8/24,D$9&lt;14/24)</formula>
    </cfRule>
    <cfRule type="expression" dxfId="2325" priority="140">
      <formula>D$9&lt;8/24</formula>
    </cfRule>
  </conditionalFormatting>
  <conditionalFormatting sqref="C117">
    <cfRule type="expression" dxfId="2324" priority="133">
      <formula>C$9&gt;=20/24</formula>
    </cfRule>
    <cfRule type="expression" dxfId="2323" priority="134">
      <formula>AND(C$9&gt;=14/24,C$9&lt;20/24)</formula>
    </cfRule>
    <cfRule type="expression" dxfId="2322" priority="135">
      <formula>AND(C$9&gt;=8/24,C$9&lt;14/24)</formula>
    </cfRule>
    <cfRule type="expression" dxfId="2321" priority="136">
      <formula>C$9&lt;8/24</formula>
    </cfRule>
  </conditionalFormatting>
  <conditionalFormatting sqref="B109 B111:B116">
    <cfRule type="expression" dxfId="2320" priority="125">
      <formula>B$9&gt;=20/24</formula>
    </cfRule>
    <cfRule type="expression" dxfId="2319" priority="126">
      <formula>AND(B$9&gt;=14/24,B$9&lt;20/24)</formula>
    </cfRule>
    <cfRule type="expression" dxfId="2318" priority="127">
      <formula>AND(B$9&gt;=8/24,B$9&lt;14/24)</formula>
    </cfRule>
    <cfRule type="expression" dxfId="2317" priority="128">
      <formula>B$9&lt;8/24</formula>
    </cfRule>
  </conditionalFormatting>
  <conditionalFormatting sqref="B99">
    <cfRule type="expression" dxfId="2316" priority="121">
      <formula>B$9&gt;=20/24</formula>
    </cfRule>
    <cfRule type="expression" dxfId="2315" priority="122">
      <formula>AND(B$9&gt;=14/24,B$9&lt;20/24)</formula>
    </cfRule>
    <cfRule type="expression" dxfId="2314" priority="123">
      <formula>AND(B$9&gt;=8/24,B$9&lt;14/24)</formula>
    </cfRule>
    <cfRule type="expression" dxfId="2313" priority="124">
      <formula>B$9&lt;8/24</formula>
    </cfRule>
  </conditionalFormatting>
  <conditionalFormatting sqref="B71 B54:G57 H56:M57">
    <cfRule type="expression" dxfId="2312" priority="117">
      <formula>B$9&gt;=20/24</formula>
    </cfRule>
    <cfRule type="expression" dxfId="2311" priority="118">
      <formula>AND(B$9&gt;=14/24,B$9&lt;20/24)</formula>
    </cfRule>
    <cfRule type="expression" dxfId="2310" priority="119">
      <formula>AND(B$9&gt;=8/24,B$9&lt;14/24)</formula>
    </cfRule>
    <cfRule type="expression" dxfId="2309" priority="120">
      <formula>B$9&lt;8/24</formula>
    </cfRule>
  </conditionalFormatting>
  <conditionalFormatting sqref="B53:G53">
    <cfRule type="expression" dxfId="2308" priority="113">
      <formula>B$9&gt;=20/24</formula>
    </cfRule>
    <cfRule type="expression" dxfId="2307" priority="114">
      <formula>AND(B$9&gt;=14/24,B$9&lt;20/24)</formula>
    </cfRule>
    <cfRule type="expression" dxfId="2306" priority="115">
      <formula>AND(B$9&gt;=8/24,B$9&lt;14/24)</formula>
    </cfRule>
    <cfRule type="expression" dxfId="2305" priority="116">
      <formula>B$9&lt;8/24</formula>
    </cfRule>
  </conditionalFormatting>
  <conditionalFormatting sqref="B53:G57 H56:M57">
    <cfRule type="expression" dxfId="2304" priority="112">
      <formula>B53&gt;$AG53</formula>
    </cfRule>
  </conditionalFormatting>
  <conditionalFormatting sqref="B96 B86 B47 B72:B74 C74 B100:C106 B67:I69">
    <cfRule type="expression" dxfId="2303" priority="108">
      <formula>B$9&gt;=20/24</formula>
    </cfRule>
    <cfRule type="expression" dxfId="2302" priority="109">
      <formula>AND(B$9&gt;=14/24,B$9&lt;20/24)</formula>
    </cfRule>
    <cfRule type="expression" dxfId="2301" priority="110">
      <formula>AND(B$9&gt;=8/24,B$9&lt;14/24)</formula>
    </cfRule>
    <cfRule type="expression" dxfId="2300" priority="111">
      <formula>B$9&lt;8/24</formula>
    </cfRule>
  </conditionalFormatting>
  <conditionalFormatting sqref="B47 B67:I69">
    <cfRule type="expression" dxfId="2299" priority="107">
      <formula>B47&gt;$AG47</formula>
    </cfRule>
  </conditionalFormatting>
  <conditionalFormatting sqref="B59:M59">
    <cfRule type="expression" dxfId="2298" priority="103">
      <formula>B$9&gt;=20/24</formula>
    </cfRule>
    <cfRule type="expression" dxfId="2297" priority="104">
      <formula>AND(B$9&gt;=14/24,B$9&lt;20/24)</formula>
    </cfRule>
    <cfRule type="expression" dxfId="2296" priority="105">
      <formula>AND(B$9&gt;=8/24,B$9&lt;14/24)</formula>
    </cfRule>
    <cfRule type="expression" dxfId="2295" priority="106">
      <formula>B$9&lt;8/24</formula>
    </cfRule>
  </conditionalFormatting>
  <conditionalFormatting sqref="B59:M59">
    <cfRule type="expression" dxfId="2294" priority="102">
      <formula>B59&gt;$AG59</formula>
    </cfRule>
  </conditionalFormatting>
  <conditionalFormatting sqref="B97 B88">
    <cfRule type="expression" dxfId="2293" priority="98">
      <formula>B$9&gt;=20/24</formula>
    </cfRule>
    <cfRule type="expression" dxfId="2292" priority="99">
      <formula>AND(B$9&gt;=14/24,B$9&lt;20/24)</formula>
    </cfRule>
    <cfRule type="expression" dxfId="2291" priority="100">
      <formula>AND(B$9&gt;=8/24,B$9&lt;14/24)</formula>
    </cfRule>
    <cfRule type="expression" dxfId="2290" priority="101">
      <formula>B$9&lt;8/24</formula>
    </cfRule>
  </conditionalFormatting>
  <conditionalFormatting sqref="B58:M58">
    <cfRule type="expression" dxfId="2289" priority="94">
      <formula>B$9&gt;=20/24</formula>
    </cfRule>
    <cfRule type="expression" dxfId="2288" priority="95">
      <formula>AND(B$9&gt;=14/24,B$9&lt;20/24)</formula>
    </cfRule>
    <cfRule type="expression" dxfId="2287" priority="96">
      <formula>AND(B$9&gt;=8/24,B$9&lt;14/24)</formula>
    </cfRule>
    <cfRule type="expression" dxfId="2286" priority="97">
      <formula>B$9&lt;8/24</formula>
    </cfRule>
  </conditionalFormatting>
  <conditionalFormatting sqref="B58:M58">
    <cfRule type="expression" dxfId="2285" priority="93">
      <formula>B58&gt;$AG58</formula>
    </cfRule>
  </conditionalFormatting>
  <conditionalFormatting sqref="B91:B95">
    <cfRule type="expression" dxfId="2284" priority="89">
      <formula>B$9&gt;=20/24</formula>
    </cfRule>
    <cfRule type="expression" dxfId="2283" priority="90">
      <formula>AND(B$9&gt;=14/24,B$9&lt;20/24)</formula>
    </cfRule>
    <cfRule type="expression" dxfId="2282" priority="91">
      <formula>AND(B$9&gt;=8/24,B$9&lt;14/24)</formula>
    </cfRule>
    <cfRule type="expression" dxfId="2281" priority="92">
      <formula>B$9&lt;8/24</formula>
    </cfRule>
  </conditionalFormatting>
  <conditionalFormatting sqref="B49:B51 C50:M51">
    <cfRule type="expression" dxfId="2280" priority="85">
      <formula>B$9&gt;=20/24</formula>
    </cfRule>
    <cfRule type="expression" dxfId="2279" priority="86">
      <formula>AND(B$9&gt;=14/24,B$9&lt;20/24)</formula>
    </cfRule>
    <cfRule type="expression" dxfId="2278" priority="87">
      <formula>AND(B$9&gt;=8/24,B$9&lt;14/24)</formula>
    </cfRule>
    <cfRule type="expression" dxfId="2277" priority="88">
      <formula>B$9&lt;8/24</formula>
    </cfRule>
  </conditionalFormatting>
  <conditionalFormatting sqref="B49:B51 C50:M51">
    <cfRule type="expression" dxfId="2276" priority="84">
      <formula>B49&gt;$AG49</formula>
    </cfRule>
  </conditionalFormatting>
  <conditionalFormatting sqref="B107">
    <cfRule type="expression" dxfId="2275" priority="80">
      <formula>B$9&gt;=20/24</formula>
    </cfRule>
    <cfRule type="expression" dxfId="2274" priority="81">
      <formula>AND(B$9&gt;=14/24,B$9&lt;20/24)</formula>
    </cfRule>
    <cfRule type="expression" dxfId="2273" priority="82">
      <formula>AND(B$9&gt;=8/24,B$9&lt;14/24)</formula>
    </cfRule>
    <cfRule type="expression" dxfId="2272" priority="83">
      <formula>B$9&lt;8/24</formula>
    </cfRule>
  </conditionalFormatting>
  <conditionalFormatting sqref="B110">
    <cfRule type="expression" dxfId="2271" priority="76">
      <formula>B$9&gt;=20/24</formula>
    </cfRule>
    <cfRule type="expression" dxfId="2270" priority="77">
      <formula>AND(B$9&gt;=14/24,B$9&lt;20/24)</formula>
    </cfRule>
    <cfRule type="expression" dxfId="2269" priority="78">
      <formula>AND(B$9&gt;=8/24,B$9&lt;14/24)</formula>
    </cfRule>
    <cfRule type="expression" dxfId="2268" priority="79">
      <formula>B$9&lt;8/24</formula>
    </cfRule>
  </conditionalFormatting>
  <conditionalFormatting sqref="B83:B85 B75:C76 D76">
    <cfRule type="expression" dxfId="2267" priority="72">
      <formula>B$9&gt;=20/24</formula>
    </cfRule>
    <cfRule type="expression" dxfId="2266" priority="73">
      <formula>AND(B$9&gt;=14/24,B$9&lt;20/24)</formula>
    </cfRule>
    <cfRule type="expression" dxfId="2265" priority="74">
      <formula>AND(B$9&gt;=8/24,B$9&lt;14/24)</formula>
    </cfRule>
    <cfRule type="expression" dxfId="2264" priority="75">
      <formula>B$9&lt;8/24</formula>
    </cfRule>
  </conditionalFormatting>
  <conditionalFormatting sqref="B87 B89 B98 B70">
    <cfRule type="expression" dxfId="2263" priority="68">
      <formula>B$9&gt;=20/24</formula>
    </cfRule>
    <cfRule type="expression" dxfId="2262" priority="69">
      <formula>AND(B$9&gt;=14/24,B$9&lt;20/24)</formula>
    </cfRule>
    <cfRule type="expression" dxfId="2261" priority="70">
      <formula>AND(B$9&gt;=8/24,B$9&lt;14/24)</formula>
    </cfRule>
    <cfRule type="expression" dxfId="2260" priority="71">
      <formula>B$9&lt;8/24</formula>
    </cfRule>
  </conditionalFormatting>
  <conditionalFormatting sqref="B48 B65:B66 B70">
    <cfRule type="expression" dxfId="2259" priority="67">
      <formula>B48&gt;$AG48</formula>
    </cfRule>
  </conditionalFormatting>
  <conditionalFormatting sqref="B82">
    <cfRule type="expression" dxfId="2258" priority="63">
      <formula>B$9&gt;=20/24</formula>
    </cfRule>
    <cfRule type="expression" dxfId="2257" priority="64">
      <formula>AND(B$9&gt;=14/24,B$9&lt;20/24)</formula>
    </cfRule>
    <cfRule type="expression" dxfId="2256" priority="65">
      <formula>AND(B$9&gt;=8/24,B$9&lt;14/24)</formula>
    </cfRule>
    <cfRule type="expression" dxfId="2255" priority="66">
      <formula>B$9&lt;8/24</formula>
    </cfRule>
  </conditionalFormatting>
  <conditionalFormatting sqref="B52">
    <cfRule type="expression" dxfId="2254" priority="59">
      <formula>B$9&gt;=20/24</formula>
    </cfRule>
    <cfRule type="expression" dxfId="2253" priority="60">
      <formula>AND(B$9&gt;=14/24,B$9&lt;20/24)</formula>
    </cfRule>
    <cfRule type="expression" dxfId="2252" priority="61">
      <formula>AND(B$9&gt;=8/24,B$9&lt;14/24)</formula>
    </cfRule>
    <cfRule type="expression" dxfId="2251" priority="62">
      <formula>B$9&lt;8/24</formula>
    </cfRule>
  </conditionalFormatting>
  <conditionalFormatting sqref="B52">
    <cfRule type="expression" dxfId="2250" priority="58">
      <formula>B52&gt;$AG52</formula>
    </cfRule>
  </conditionalFormatting>
  <conditionalFormatting sqref="B13:M13">
    <cfRule type="expression" dxfId="2249" priority="53">
      <formula>B13&gt;$AG13</formula>
    </cfRule>
  </conditionalFormatting>
  <conditionalFormatting sqref="B12:M12">
    <cfRule type="expression" dxfId="2248" priority="49">
      <formula>B$9&gt;=20/24</formula>
    </cfRule>
    <cfRule type="expression" dxfId="2247" priority="50">
      <formula>AND(B$9&gt;=14/24,B$9&lt;20/24)</formula>
    </cfRule>
    <cfRule type="expression" dxfId="2246" priority="51">
      <formula>AND(B$9&gt;=8/24,B$9&lt;14/24)</formula>
    </cfRule>
    <cfRule type="expression" dxfId="2245" priority="52">
      <formula>B$9&lt;8/24</formula>
    </cfRule>
  </conditionalFormatting>
  <conditionalFormatting sqref="B12:M12">
    <cfRule type="expression" dxfId="2244" priority="48">
      <formula>B12&gt;$AG12</formula>
    </cfRule>
  </conditionalFormatting>
  <conditionalFormatting sqref="B13:M13">
    <cfRule type="expression" dxfId="2243" priority="44">
      <formula>B$9&gt;=20/24</formula>
    </cfRule>
    <cfRule type="expression" dxfId="2242" priority="45">
      <formula>AND(B$9&gt;=14/24,B$9&lt;20/24)</formula>
    </cfRule>
    <cfRule type="expression" dxfId="2241" priority="46">
      <formula>AND(B$9&gt;=8/24,B$9&lt;14/24)</formula>
    </cfRule>
    <cfRule type="expression" dxfId="2240" priority="47">
      <formula>B$9&lt;8/24</formula>
    </cfRule>
  </conditionalFormatting>
  <conditionalFormatting sqref="B77:D81">
    <cfRule type="expression" dxfId="2239" priority="40">
      <formula>B$9&gt;=20/24</formula>
    </cfRule>
    <cfRule type="expression" dxfId="2238" priority="41">
      <formula>AND(B$9&gt;=14/24,B$9&lt;20/24)</formula>
    </cfRule>
    <cfRule type="expression" dxfId="2237" priority="42">
      <formula>AND(B$9&gt;=8/24,B$9&lt;14/24)</formula>
    </cfRule>
    <cfRule type="expression" dxfId="2236" priority="43">
      <formula>B$9&lt;8/24</formula>
    </cfRule>
  </conditionalFormatting>
  <conditionalFormatting sqref="B14:M15 B17:AF32 B34:AF43 B45:AF45">
    <cfRule type="expression" dxfId="2235" priority="36">
      <formula>B$9&gt;=20/24</formula>
    </cfRule>
    <cfRule type="expression" dxfId="2234" priority="37">
      <formula>AND(B$9&gt;=14/24,B$9&lt;20/24)</formula>
    </cfRule>
    <cfRule type="expression" dxfId="2233" priority="38">
      <formula>AND(B$9&gt;=8/24,B$9&lt;14/24)</formula>
    </cfRule>
    <cfRule type="expression" dxfId="2232" priority="39">
      <formula>B$9&lt;8/24</formula>
    </cfRule>
  </conditionalFormatting>
  <conditionalFormatting sqref="B14:M15 B17:AF32 B34:AF43 B45:AF45">
    <cfRule type="expression" dxfId="2231" priority="35">
      <formula>B14&gt;$AG14</formula>
    </cfRule>
  </conditionalFormatting>
  <conditionalFormatting sqref="B46:AF46">
    <cfRule type="expression" dxfId="2230" priority="31">
      <formula>B$9&gt;=20/24</formula>
    </cfRule>
    <cfRule type="expression" dxfId="2229" priority="32">
      <formula>AND(B$9&gt;=14/24,B$9&lt;20/24)</formula>
    </cfRule>
    <cfRule type="expression" dxfId="2228" priority="33">
      <formula>AND(B$9&gt;=8/24,B$9&lt;14/24)</formula>
    </cfRule>
    <cfRule type="expression" dxfId="2227" priority="34">
      <formula>B$9&lt;8/24</formula>
    </cfRule>
  </conditionalFormatting>
  <conditionalFormatting sqref="B46:AF46">
    <cfRule type="expression" dxfId="2226" priority="30">
      <formula>B46&gt;$AG46</formula>
    </cfRule>
  </conditionalFormatting>
  <conditionalFormatting sqref="B60:M64">
    <cfRule type="expression" dxfId="2225" priority="26">
      <formula>B$9&gt;=20/24</formula>
    </cfRule>
    <cfRule type="expression" dxfId="2224" priority="27">
      <formula>AND(B$9&gt;=14/24,B$9&lt;20/24)</formula>
    </cfRule>
    <cfRule type="expression" dxfId="2223" priority="28">
      <formula>AND(B$9&gt;=8/24,B$9&lt;14/24)</formula>
    </cfRule>
    <cfRule type="expression" dxfId="2222" priority="29">
      <formula>B$9&lt;8/24</formula>
    </cfRule>
  </conditionalFormatting>
  <conditionalFormatting sqref="B60:M64">
    <cfRule type="expression" dxfId="2221" priority="25">
      <formula>B60&gt;$AG60</formula>
    </cfRule>
  </conditionalFormatting>
  <conditionalFormatting sqref="B11:M11">
    <cfRule type="expression" dxfId="2220" priority="21">
      <formula>B$9&gt;=20/24</formula>
    </cfRule>
    <cfRule type="expression" dxfId="2219" priority="22">
      <formula>AND(B$9&gt;=14/24,B$9&lt;20/24)</formula>
    </cfRule>
    <cfRule type="expression" dxfId="2218" priority="23">
      <formula>AND(B$9&gt;=8/24,B$9&lt;14/24)</formula>
    </cfRule>
    <cfRule type="expression" dxfId="2217" priority="24">
      <formula>B$9&lt;8/24</formula>
    </cfRule>
  </conditionalFormatting>
  <conditionalFormatting sqref="B11:M11">
    <cfRule type="expression" dxfId="2216" priority="20">
      <formula>B11&gt;$AG11</formula>
    </cfRule>
  </conditionalFormatting>
  <conditionalFormatting sqref="B16:M16">
    <cfRule type="expression" dxfId="2215" priority="16">
      <formula>B$9&gt;=20/24</formula>
    </cfRule>
    <cfRule type="expression" dxfId="2214" priority="17">
      <formula>AND(B$9&gt;=14/24,B$9&lt;20/24)</formula>
    </cfRule>
    <cfRule type="expression" dxfId="2213" priority="18">
      <formula>AND(B$9&gt;=8/24,B$9&lt;14/24)</formula>
    </cfRule>
    <cfRule type="expression" dxfId="2212" priority="19">
      <formula>B$9&lt;8/24</formula>
    </cfRule>
  </conditionalFormatting>
  <conditionalFormatting sqref="B16:M16">
    <cfRule type="expression" dxfId="2211" priority="15">
      <formula>B16&gt;$AG16</formula>
    </cfRule>
  </conditionalFormatting>
  <conditionalFormatting sqref="B33:AF33">
    <cfRule type="expression" dxfId="2210" priority="11">
      <formula>B$9&gt;=20/24</formula>
    </cfRule>
    <cfRule type="expression" dxfId="2209" priority="12">
      <formula>AND(B$9&gt;=14/24,B$9&lt;20/24)</formula>
    </cfRule>
    <cfRule type="expression" dxfId="2208" priority="13">
      <formula>AND(B$9&gt;=8/24,B$9&lt;14/24)</formula>
    </cfRule>
    <cfRule type="expression" dxfId="2207" priority="14">
      <formula>B$9&lt;8/24</formula>
    </cfRule>
  </conditionalFormatting>
  <conditionalFormatting sqref="B33:AF33">
    <cfRule type="expression" dxfId="2206" priority="10">
      <formula>B33&gt;$AG33</formula>
    </cfRule>
  </conditionalFormatting>
  <conditionalFormatting sqref="B44:AF44">
    <cfRule type="expression" dxfId="2205" priority="6">
      <formula>B$9&gt;=20/24</formula>
    </cfRule>
    <cfRule type="expression" dxfId="2204" priority="7">
      <formula>AND(B$9&gt;=14/24,B$9&lt;20/24)</formula>
    </cfRule>
    <cfRule type="expression" dxfId="2203" priority="8">
      <formula>AND(B$9&gt;=8/24,B$9&lt;14/24)</formula>
    </cfRule>
    <cfRule type="expression" dxfId="2202" priority="9">
      <formula>B$9&lt;8/24</formula>
    </cfRule>
  </conditionalFormatting>
  <conditionalFormatting sqref="B44:AF44">
    <cfRule type="expression" dxfId="2201" priority="5">
      <formula>B44&gt;$AG44</formula>
    </cfRule>
  </conditionalFormatting>
  <conditionalFormatting sqref="B117">
    <cfRule type="expression" dxfId="2200" priority="1">
      <formula>B$9&gt;=20/24</formula>
    </cfRule>
    <cfRule type="expression" dxfId="2199" priority="2">
      <formula>AND(B$9&gt;=14/24,B$9&lt;20/24)</formula>
    </cfRule>
    <cfRule type="expression" dxfId="2198" priority="3">
      <formula>AND(B$9&gt;=8/24,B$9&lt;14/24)</formula>
    </cfRule>
    <cfRule type="expression" dxfId="2197" priority="4">
      <formula>B$9&lt;8/24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9" id="{40CB1D1C-979E-4D8B-B4C4-4E73C556B99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0" id="{CABCF871-2E6C-4201-BACB-43E527B3F02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1" id="{B0529290-F702-4EBB-B159-D7FD2FE1C61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2" id="{B2EBA707-35D6-490F-8074-AC1ED40D312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4" id="{6A42F772-4899-474E-869C-99A33C4A0C7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1D51FD17-1756-4574-8FD4-E9EBFE0F394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6" id="{D0E4C4DE-59D4-4425-AD8F-FBAE6F419D7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7" id="{23695544-50FE-4DEF-9AE4-C2941E28A3A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8"/>
  <sheetViews>
    <sheetView zoomScale="90" zoomScaleNormal="90" workbookViewId="0">
      <pane ySplit="10" topLeftCell="A85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2079/11/29</v>
      </c>
      <c r="C4" s="208"/>
      <c r="D4" s="208"/>
      <c r="E4" s="209" t="str">
        <f ca="1">"2079/"&amp;"11/"&amp;INT(MID(CELL("filename",G6),FIND("]",CELL("filename",G6))+1,200))</f>
        <v>2079/11/29</v>
      </c>
      <c r="F4" s="209"/>
      <c r="G4" s="209"/>
      <c r="H4" s="209" t="str">
        <f ca="1">TEXT(E4,"dddd")</f>
        <v>Wednesday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550.4</v>
      </c>
      <c r="C5" s="30">
        <f t="shared" si="0"/>
        <v>503</v>
      </c>
      <c r="D5" s="30">
        <f t="shared" si="0"/>
        <v>507</v>
      </c>
      <c r="E5" s="30">
        <f t="shared" si="0"/>
        <v>488.4</v>
      </c>
      <c r="F5" s="30">
        <f t="shared" si="0"/>
        <v>534.70000000000005</v>
      </c>
      <c r="G5" s="30">
        <f t="shared" si="0"/>
        <v>541.20000000000005</v>
      </c>
      <c r="H5" s="30">
        <f t="shared" si="0"/>
        <v>551.30000000000007</v>
      </c>
      <c r="I5" s="30">
        <f t="shared" si="0"/>
        <v>536.70000000000005</v>
      </c>
      <c r="J5" s="30">
        <f t="shared" si="0"/>
        <v>538.9</v>
      </c>
      <c r="K5" s="30">
        <f t="shared" si="0"/>
        <v>511.5</v>
      </c>
      <c r="L5" s="30">
        <f t="shared" si="0"/>
        <v>507.3</v>
      </c>
      <c r="M5" s="30">
        <f t="shared" si="0"/>
        <v>536.30000000000007</v>
      </c>
      <c r="N5" s="30">
        <f t="shared" si="0"/>
        <v>560.9</v>
      </c>
      <c r="O5" s="30">
        <f t="shared" si="0"/>
        <v>572.9</v>
      </c>
      <c r="P5" s="30">
        <f t="shared" si="0"/>
        <v>550</v>
      </c>
      <c r="Q5" s="30">
        <f t="shared" si="0"/>
        <v>569</v>
      </c>
      <c r="R5" s="30">
        <f t="shared" si="0"/>
        <v>549.4</v>
      </c>
      <c r="S5" s="30">
        <f t="shared" si="0"/>
        <v>540.9</v>
      </c>
      <c r="T5" s="30">
        <f t="shared" si="0"/>
        <v>596.70000000000005</v>
      </c>
      <c r="U5" s="30">
        <f t="shared" si="0"/>
        <v>549.4</v>
      </c>
      <c r="V5" s="30">
        <f t="shared" si="0"/>
        <v>586.4</v>
      </c>
      <c r="W5" s="30">
        <f t="shared" si="0"/>
        <v>558</v>
      </c>
      <c r="X5" s="30">
        <f t="shared" si="0"/>
        <v>527.1</v>
      </c>
      <c r="Y5" s="30">
        <f t="shared" si="0"/>
        <v>533.5</v>
      </c>
      <c r="Z5" s="30">
        <f t="shared" si="0"/>
        <v>537.5</v>
      </c>
      <c r="AA5" s="30">
        <f t="shared" si="0"/>
        <v>540</v>
      </c>
      <c r="AB5" s="30">
        <f t="shared" si="0"/>
        <v>546.1</v>
      </c>
      <c r="AC5" s="30">
        <f t="shared" si="0"/>
        <v>559.4</v>
      </c>
      <c r="AD5" s="30">
        <f t="shared" si="0"/>
        <v>559.9</v>
      </c>
      <c r="AE5" s="30">
        <f t="shared" si="0"/>
        <v>563.29999999999995</v>
      </c>
      <c r="AF5" s="30">
        <f>B82</f>
        <v>521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Load=1029</v>
      </c>
      <c r="B7" s="35">
        <f t="shared" ref="B7:AF7" si="1">B89</f>
        <v>1056.8399999999999</v>
      </c>
      <c r="C7" s="35">
        <f t="shared" si="1"/>
        <v>1056.24</v>
      </c>
      <c r="D7" s="35">
        <f t="shared" si="1"/>
        <v>1060.74</v>
      </c>
      <c r="E7" s="35">
        <f t="shared" si="1"/>
        <v>1047.3399999999999</v>
      </c>
      <c r="F7" s="35">
        <f t="shared" si="1"/>
        <v>1028.7399999999998</v>
      </c>
      <c r="G7" s="35">
        <f t="shared" si="1"/>
        <v>1075.24</v>
      </c>
      <c r="H7" s="35">
        <f t="shared" si="1"/>
        <v>1146.04</v>
      </c>
      <c r="I7" s="35">
        <f t="shared" si="1"/>
        <v>1183.54</v>
      </c>
      <c r="J7" s="35">
        <f t="shared" si="1"/>
        <v>1195.24</v>
      </c>
      <c r="K7" s="35">
        <f t="shared" si="1"/>
        <v>1249.04</v>
      </c>
      <c r="L7" s="35">
        <f t="shared" si="1"/>
        <v>1282.74</v>
      </c>
      <c r="M7" s="35">
        <f t="shared" si="1"/>
        <v>1418.94</v>
      </c>
      <c r="N7" s="35">
        <f>N89</f>
        <v>1383.1399999999999</v>
      </c>
      <c r="O7" s="35">
        <f t="shared" si="1"/>
        <v>1380.54</v>
      </c>
      <c r="P7" s="35">
        <f t="shared" si="1"/>
        <v>1239.7399999999998</v>
      </c>
      <c r="Q7" s="35">
        <f t="shared" si="1"/>
        <v>1292.3399999999999</v>
      </c>
      <c r="R7" s="35">
        <f t="shared" si="1"/>
        <v>1293.3399999999999</v>
      </c>
      <c r="S7" s="35">
        <f t="shared" si="1"/>
        <v>1315.84</v>
      </c>
      <c r="T7" s="35">
        <f t="shared" si="1"/>
        <v>1256.8400000000001</v>
      </c>
      <c r="U7" s="35">
        <f t="shared" si="1"/>
        <v>1350.54</v>
      </c>
      <c r="V7" s="35">
        <f t="shared" si="1"/>
        <v>1311.1399999999999</v>
      </c>
      <c r="W7" s="35">
        <f t="shared" si="1"/>
        <v>1349.54</v>
      </c>
      <c r="X7" s="35">
        <f t="shared" si="1"/>
        <v>1397.94</v>
      </c>
      <c r="Y7" s="35">
        <f t="shared" si="1"/>
        <v>1497.8400000000001</v>
      </c>
      <c r="Z7" s="35">
        <f t="shared" si="1"/>
        <v>1568.54</v>
      </c>
      <c r="AA7" s="35">
        <f t="shared" si="1"/>
        <v>1504.84</v>
      </c>
      <c r="AB7" s="35">
        <f t="shared" si="1"/>
        <v>1468.54</v>
      </c>
      <c r="AC7" s="35">
        <f t="shared" si="1"/>
        <v>1203.04</v>
      </c>
      <c r="AD7" s="35">
        <f t="shared" si="1"/>
        <v>1184.2399999999998</v>
      </c>
      <c r="AE7" s="35">
        <f t="shared" si="1"/>
        <v>1126.94</v>
      </c>
      <c r="AF7" s="35">
        <f t="shared" si="1"/>
        <v>1067.1399999999999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20</v>
      </c>
      <c r="C11" s="45">
        <v>20</v>
      </c>
      <c r="D11" s="45">
        <v>20</v>
      </c>
      <c r="E11" s="45">
        <v>20</v>
      </c>
      <c r="F11" s="45">
        <v>20</v>
      </c>
      <c r="G11" s="45">
        <v>20</v>
      </c>
      <c r="H11" s="45">
        <v>20</v>
      </c>
      <c r="I11" s="45">
        <v>20</v>
      </c>
      <c r="J11" s="45">
        <v>20</v>
      </c>
      <c r="K11" s="45">
        <v>20</v>
      </c>
      <c r="L11" s="45">
        <v>20</v>
      </c>
      <c r="M11" s="45">
        <v>20</v>
      </c>
      <c r="N11" s="45">
        <v>20</v>
      </c>
      <c r="O11" s="45">
        <v>20</v>
      </c>
      <c r="P11" s="45">
        <v>20</v>
      </c>
      <c r="Q11" s="45">
        <v>20</v>
      </c>
      <c r="R11" s="45">
        <v>20</v>
      </c>
      <c r="S11" s="45">
        <v>20</v>
      </c>
      <c r="T11" s="45">
        <v>20</v>
      </c>
      <c r="U11" s="45">
        <v>20</v>
      </c>
      <c r="V11" s="45">
        <v>20</v>
      </c>
      <c r="W11" s="45">
        <v>20</v>
      </c>
      <c r="X11" s="45">
        <v>20</v>
      </c>
      <c r="Y11" s="45">
        <v>20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6">
        <v>86</v>
      </c>
      <c r="AH11" s="47">
        <f t="shared" ref="AH11:AH74" si="2">MAX(B11:AF11)</f>
        <v>20</v>
      </c>
      <c r="AI11" s="48">
        <f t="shared" ref="AI11:AI74" si="3">MIN(B11:AF11)</f>
        <v>20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13.7</v>
      </c>
      <c r="C12" s="45">
        <v>13.7</v>
      </c>
      <c r="D12" s="45">
        <v>13.7</v>
      </c>
      <c r="E12" s="45">
        <v>13.7</v>
      </c>
      <c r="F12" s="45">
        <v>13.7</v>
      </c>
      <c r="G12" s="45">
        <v>13.7</v>
      </c>
      <c r="H12" s="45">
        <v>13.7</v>
      </c>
      <c r="I12" s="45">
        <v>13.7</v>
      </c>
      <c r="J12" s="45">
        <v>13.7</v>
      </c>
      <c r="K12" s="45">
        <v>13.7</v>
      </c>
      <c r="L12" s="45">
        <v>13.7</v>
      </c>
      <c r="M12" s="45">
        <v>13.7</v>
      </c>
      <c r="N12" s="45">
        <v>13.7</v>
      </c>
      <c r="O12" s="45">
        <v>13.7</v>
      </c>
      <c r="P12" s="45">
        <v>13.7</v>
      </c>
      <c r="Q12" s="45">
        <v>13.7</v>
      </c>
      <c r="R12" s="45">
        <v>13.7</v>
      </c>
      <c r="S12" s="45">
        <v>13.7</v>
      </c>
      <c r="T12" s="45">
        <v>13.7</v>
      </c>
      <c r="U12" s="45">
        <v>13.7</v>
      </c>
      <c r="V12" s="45">
        <v>13.7</v>
      </c>
      <c r="W12" s="45">
        <v>13.7</v>
      </c>
      <c r="X12" s="45">
        <v>13.7</v>
      </c>
      <c r="Y12" s="45">
        <v>13.7</v>
      </c>
      <c r="Z12" s="45">
        <v>13.7</v>
      </c>
      <c r="AA12" s="45">
        <v>13.7</v>
      </c>
      <c r="AB12" s="45">
        <v>13.7</v>
      </c>
      <c r="AC12" s="45">
        <v>13.7</v>
      </c>
      <c r="AD12" s="45">
        <v>13.7</v>
      </c>
      <c r="AE12" s="45">
        <v>13.7</v>
      </c>
      <c r="AF12" s="45">
        <v>13.7</v>
      </c>
      <c r="AG12" s="46">
        <v>52.4</v>
      </c>
      <c r="AH12" s="47">
        <f t="shared" si="2"/>
        <v>13.7</v>
      </c>
      <c r="AI12" s="48">
        <f t="shared" si="3"/>
        <v>13.7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27.4</v>
      </c>
      <c r="C13" s="45">
        <v>27.4</v>
      </c>
      <c r="D13" s="45">
        <v>27.4</v>
      </c>
      <c r="E13" s="45">
        <v>27.4</v>
      </c>
      <c r="F13" s="45">
        <v>27.4</v>
      </c>
      <c r="G13" s="45">
        <v>27.4</v>
      </c>
      <c r="H13" s="45">
        <v>27.4</v>
      </c>
      <c r="I13" s="45">
        <v>27.4</v>
      </c>
      <c r="J13" s="45">
        <v>27.4</v>
      </c>
      <c r="K13" s="45">
        <v>27.4</v>
      </c>
      <c r="L13" s="45">
        <v>27.4</v>
      </c>
      <c r="M13" s="45">
        <v>27.4</v>
      </c>
      <c r="N13" s="45">
        <v>27.4</v>
      </c>
      <c r="O13" s="45">
        <v>27.4</v>
      </c>
      <c r="P13" s="45">
        <v>27.4</v>
      </c>
      <c r="Q13" s="45">
        <v>27.4</v>
      </c>
      <c r="R13" s="45">
        <v>27.4</v>
      </c>
      <c r="S13" s="45">
        <v>27.4</v>
      </c>
      <c r="T13" s="45">
        <v>27.4</v>
      </c>
      <c r="U13" s="45">
        <v>27.4</v>
      </c>
      <c r="V13" s="45">
        <v>27.4</v>
      </c>
      <c r="W13" s="45">
        <v>27.4</v>
      </c>
      <c r="X13" s="45">
        <v>27.4</v>
      </c>
      <c r="Y13" s="45">
        <v>27.4</v>
      </c>
      <c r="Z13" s="45">
        <v>27.4</v>
      </c>
      <c r="AA13" s="45">
        <v>27.4</v>
      </c>
      <c r="AB13" s="45">
        <v>27.4</v>
      </c>
      <c r="AC13" s="45">
        <v>27.4</v>
      </c>
      <c r="AD13" s="45">
        <v>27.4</v>
      </c>
      <c r="AE13" s="45">
        <v>27.4</v>
      </c>
      <c r="AF13" s="45">
        <v>27.4</v>
      </c>
      <c r="AG13" s="50">
        <v>50</v>
      </c>
      <c r="AH13" s="47">
        <f t="shared" si="2"/>
        <v>27.4</v>
      </c>
      <c r="AI13" s="48">
        <f t="shared" si="3"/>
        <v>27.4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15.3</v>
      </c>
      <c r="C14" s="45">
        <v>15.3</v>
      </c>
      <c r="D14" s="45">
        <v>15.3</v>
      </c>
      <c r="E14" s="45">
        <v>15.3</v>
      </c>
      <c r="F14" s="45">
        <v>15.3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15.3</v>
      </c>
      <c r="N14" s="45">
        <v>15.3</v>
      </c>
      <c r="O14" s="45">
        <v>15.3</v>
      </c>
      <c r="P14" s="45">
        <v>15.3</v>
      </c>
      <c r="Q14" s="45">
        <v>15.3</v>
      </c>
      <c r="R14" s="45">
        <v>15.3</v>
      </c>
      <c r="S14" s="45">
        <v>15.3</v>
      </c>
      <c r="T14" s="45">
        <v>15.3</v>
      </c>
      <c r="U14" s="45">
        <v>15.3</v>
      </c>
      <c r="V14" s="45">
        <v>15.3</v>
      </c>
      <c r="W14" s="45">
        <v>15.3</v>
      </c>
      <c r="X14" s="45">
        <v>15.3</v>
      </c>
      <c r="Y14" s="45">
        <v>15.3</v>
      </c>
      <c r="Z14" s="45">
        <v>15.3</v>
      </c>
      <c r="AA14" s="45">
        <v>15.3</v>
      </c>
      <c r="AB14" s="45">
        <v>15.3</v>
      </c>
      <c r="AC14" s="45">
        <v>15.3</v>
      </c>
      <c r="AD14" s="45">
        <v>15.3</v>
      </c>
      <c r="AE14" s="45">
        <v>15.3</v>
      </c>
      <c r="AF14" s="45">
        <v>15.3</v>
      </c>
      <c r="AG14" s="50">
        <v>45</v>
      </c>
      <c r="AH14" s="47">
        <f t="shared" si="2"/>
        <v>15.3</v>
      </c>
      <c r="AI14" s="48">
        <f t="shared" si="3"/>
        <v>15.3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7.5</v>
      </c>
      <c r="C15" s="45">
        <v>7.5</v>
      </c>
      <c r="D15" s="45">
        <v>7.5</v>
      </c>
      <c r="E15" s="45">
        <v>7.5</v>
      </c>
      <c r="F15" s="45">
        <v>7.5</v>
      </c>
      <c r="G15" s="45">
        <v>7.5</v>
      </c>
      <c r="H15" s="45">
        <v>7.5</v>
      </c>
      <c r="I15" s="45">
        <v>7.5</v>
      </c>
      <c r="J15" s="45">
        <v>7.5</v>
      </c>
      <c r="K15" s="45">
        <v>7.5</v>
      </c>
      <c r="L15" s="45">
        <v>7.5</v>
      </c>
      <c r="M15" s="45">
        <v>7.5</v>
      </c>
      <c r="N15" s="45">
        <v>7.5</v>
      </c>
      <c r="O15" s="45">
        <v>7.5</v>
      </c>
      <c r="P15" s="45">
        <v>7.5</v>
      </c>
      <c r="Q15" s="45">
        <v>7.5</v>
      </c>
      <c r="R15" s="45">
        <v>7.5</v>
      </c>
      <c r="S15" s="45">
        <v>7.5</v>
      </c>
      <c r="T15" s="45">
        <v>7.5</v>
      </c>
      <c r="U15" s="45">
        <v>7.5</v>
      </c>
      <c r="V15" s="45">
        <v>7.5</v>
      </c>
      <c r="W15" s="45">
        <v>7.5</v>
      </c>
      <c r="X15" s="45">
        <v>7.5</v>
      </c>
      <c r="Y15" s="45">
        <v>7.5</v>
      </c>
      <c r="Z15" s="45">
        <v>7.5</v>
      </c>
      <c r="AA15" s="45">
        <v>7.5</v>
      </c>
      <c r="AB15" s="45">
        <v>7.5</v>
      </c>
      <c r="AC15" s="45">
        <v>7.5</v>
      </c>
      <c r="AD15" s="45">
        <v>7.5</v>
      </c>
      <c r="AE15" s="45">
        <v>7.5</v>
      </c>
      <c r="AF15" s="45">
        <v>7.5</v>
      </c>
      <c r="AG15" s="50">
        <v>42</v>
      </c>
      <c r="AH15" s="47">
        <f t="shared" si="2"/>
        <v>7.5</v>
      </c>
      <c r="AI15" s="48">
        <f t="shared" si="3"/>
        <v>7.5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8</v>
      </c>
      <c r="AA16" s="45">
        <v>8</v>
      </c>
      <c r="AB16" s="45">
        <v>8</v>
      </c>
      <c r="AC16" s="45">
        <v>8</v>
      </c>
      <c r="AD16" s="45">
        <v>8</v>
      </c>
      <c r="AE16" s="45">
        <v>8</v>
      </c>
      <c r="AF16" s="45">
        <v>8</v>
      </c>
      <c r="AG16" s="50">
        <v>36</v>
      </c>
      <c r="AH16" s="47">
        <f t="shared" si="2"/>
        <v>8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6.5</v>
      </c>
      <c r="N18" s="45">
        <v>6.5</v>
      </c>
      <c r="O18" s="45">
        <v>6.5</v>
      </c>
      <c r="P18" s="45">
        <v>6.5</v>
      </c>
      <c r="Q18" s="45">
        <v>6.5</v>
      </c>
      <c r="R18" s="45">
        <v>6.5</v>
      </c>
      <c r="S18" s="45">
        <v>6.5</v>
      </c>
      <c r="T18" s="45">
        <v>6.5</v>
      </c>
      <c r="U18" s="45">
        <v>6.5</v>
      </c>
      <c r="V18" s="45">
        <v>6.5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51">
        <v>30</v>
      </c>
      <c r="AH18" s="47">
        <f t="shared" si="2"/>
        <v>6.5</v>
      </c>
      <c r="AI18" s="48">
        <f t="shared" si="3"/>
        <v>6.5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>
        <v>7</v>
      </c>
      <c r="O21" s="45">
        <v>7</v>
      </c>
      <c r="P21" s="45">
        <v>7</v>
      </c>
      <c r="Q21" s="45">
        <v>7</v>
      </c>
      <c r="R21" s="45">
        <v>7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7</v>
      </c>
      <c r="AF21" s="45">
        <v>7</v>
      </c>
      <c r="AG21" s="51">
        <v>30</v>
      </c>
      <c r="AH21" s="47">
        <f t="shared" si="2"/>
        <v>7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</v>
      </c>
      <c r="C22" s="45">
        <v>8.1</v>
      </c>
      <c r="D22" s="45">
        <v>8.1</v>
      </c>
      <c r="E22" s="45">
        <v>8.1</v>
      </c>
      <c r="F22" s="45">
        <v>8.1</v>
      </c>
      <c r="G22" s="45">
        <v>8.1</v>
      </c>
      <c r="H22" s="45">
        <v>8.1</v>
      </c>
      <c r="I22" s="45">
        <v>8.1</v>
      </c>
      <c r="J22" s="45">
        <v>8.1</v>
      </c>
      <c r="K22" s="45">
        <v>8.1</v>
      </c>
      <c r="L22" s="45">
        <v>8.1</v>
      </c>
      <c r="M22" s="45">
        <v>8.1</v>
      </c>
      <c r="N22" s="45">
        <v>8.1</v>
      </c>
      <c r="O22" s="45">
        <v>8.1</v>
      </c>
      <c r="P22" s="45">
        <v>8.1</v>
      </c>
      <c r="Q22" s="45">
        <v>8.1</v>
      </c>
      <c r="R22" s="45">
        <v>8.1</v>
      </c>
      <c r="S22" s="45">
        <v>8.1</v>
      </c>
      <c r="T22" s="45">
        <v>8.1</v>
      </c>
      <c r="U22" s="45">
        <v>8.1</v>
      </c>
      <c r="V22" s="45">
        <v>8.1</v>
      </c>
      <c r="W22" s="45">
        <v>8.1</v>
      </c>
      <c r="X22" s="45">
        <v>8.1</v>
      </c>
      <c r="Y22" s="45">
        <v>8.1</v>
      </c>
      <c r="Z22" s="45">
        <v>8.1</v>
      </c>
      <c r="AA22" s="45">
        <v>8.1</v>
      </c>
      <c r="AB22" s="45">
        <v>8.1</v>
      </c>
      <c r="AC22" s="45">
        <v>8.1</v>
      </c>
      <c r="AD22" s="45">
        <v>8.1</v>
      </c>
      <c r="AE22" s="45">
        <v>8.1</v>
      </c>
      <c r="AF22" s="45">
        <v>8.1</v>
      </c>
      <c r="AG22" s="50">
        <v>25</v>
      </c>
      <c r="AH22" s="47">
        <f t="shared" si="2"/>
        <v>8.1</v>
      </c>
      <c r="AI22" s="48">
        <f t="shared" si="3"/>
        <v>8.1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7.8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5.9</v>
      </c>
      <c r="C26" s="45">
        <v>5.9</v>
      </c>
      <c r="D26" s="45">
        <v>5.9</v>
      </c>
      <c r="E26" s="45">
        <v>5.9</v>
      </c>
      <c r="F26" s="45">
        <v>5.9</v>
      </c>
      <c r="G26" s="45">
        <v>5.9</v>
      </c>
      <c r="H26" s="45">
        <v>5.9</v>
      </c>
      <c r="I26" s="45">
        <v>5.9</v>
      </c>
      <c r="J26" s="45">
        <v>5.9</v>
      </c>
      <c r="K26" s="45">
        <v>5.9</v>
      </c>
      <c r="L26" s="45">
        <v>5.9</v>
      </c>
      <c r="M26" s="45">
        <v>5.9</v>
      </c>
      <c r="N26" s="45">
        <v>5.9</v>
      </c>
      <c r="O26" s="45">
        <v>5.9</v>
      </c>
      <c r="P26" s="45">
        <v>5.9</v>
      </c>
      <c r="Q26" s="45">
        <v>5.9</v>
      </c>
      <c r="R26" s="45">
        <v>5.9</v>
      </c>
      <c r="S26" s="45">
        <v>5.9</v>
      </c>
      <c r="T26" s="45">
        <v>5.9</v>
      </c>
      <c r="U26" s="45">
        <v>5.9</v>
      </c>
      <c r="V26" s="45">
        <v>5.9</v>
      </c>
      <c r="W26" s="45">
        <v>5.9</v>
      </c>
      <c r="X26" s="45">
        <v>5.9</v>
      </c>
      <c r="Y26" s="45">
        <v>5.9</v>
      </c>
      <c r="Z26" s="45">
        <v>5.9</v>
      </c>
      <c r="AA26" s="45">
        <v>5.9</v>
      </c>
      <c r="AB26" s="45">
        <v>5.9</v>
      </c>
      <c r="AC26" s="45">
        <v>5.9</v>
      </c>
      <c r="AD26" s="45">
        <v>5.9</v>
      </c>
      <c r="AE26" s="45">
        <v>5.9</v>
      </c>
      <c r="AF26" s="45">
        <v>5.9</v>
      </c>
      <c r="AG26" s="50">
        <v>23.5</v>
      </c>
      <c r="AH26" s="47">
        <f t="shared" si="2"/>
        <v>5.9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7</v>
      </c>
      <c r="AD30" s="45">
        <v>7</v>
      </c>
      <c r="AE30" s="45">
        <v>7</v>
      </c>
      <c r="AF30" s="45">
        <v>7</v>
      </c>
      <c r="AG30" s="50">
        <v>22</v>
      </c>
      <c r="AH30" s="47">
        <f t="shared" si="2"/>
        <v>7</v>
      </c>
      <c r="AI30" s="48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4.8</v>
      </c>
      <c r="C38" s="45">
        <v>4.8</v>
      </c>
      <c r="D38" s="45">
        <v>4.8</v>
      </c>
      <c r="E38" s="45">
        <v>4.8</v>
      </c>
      <c r="F38" s="45">
        <v>4.8</v>
      </c>
      <c r="G38" s="45">
        <v>4.8</v>
      </c>
      <c r="H38" s="45">
        <v>4.8</v>
      </c>
      <c r="I38" s="45">
        <v>4.8</v>
      </c>
      <c r="J38" s="45">
        <v>4.8</v>
      </c>
      <c r="K38" s="45">
        <v>4.8</v>
      </c>
      <c r="L38" s="45">
        <v>4.8</v>
      </c>
      <c r="M38" s="45">
        <v>4.8</v>
      </c>
      <c r="N38" s="45">
        <v>4.8</v>
      </c>
      <c r="O38" s="45">
        <v>4.8</v>
      </c>
      <c r="P38" s="45">
        <v>4.8</v>
      </c>
      <c r="Q38" s="45">
        <v>4.8</v>
      </c>
      <c r="R38" s="45">
        <v>4.8</v>
      </c>
      <c r="S38" s="45">
        <v>4.8</v>
      </c>
      <c r="T38" s="45">
        <v>4.8</v>
      </c>
      <c r="U38" s="45">
        <v>4.8</v>
      </c>
      <c r="V38" s="45">
        <v>4.8</v>
      </c>
      <c r="W38" s="45">
        <v>4.8</v>
      </c>
      <c r="X38" s="45">
        <v>4.8</v>
      </c>
      <c r="Y38" s="45">
        <v>4.8</v>
      </c>
      <c r="Z38" s="45">
        <v>4.8</v>
      </c>
      <c r="AA38" s="45">
        <v>4.8</v>
      </c>
      <c r="AB38" s="45">
        <v>4.8</v>
      </c>
      <c r="AC38" s="45">
        <v>4.8</v>
      </c>
      <c r="AD38" s="45">
        <v>4.8</v>
      </c>
      <c r="AE38" s="45">
        <v>4.8</v>
      </c>
      <c r="AF38" s="45">
        <v>4.8</v>
      </c>
      <c r="AG38" s="50">
        <v>12</v>
      </c>
      <c r="AH38" s="47">
        <f t="shared" si="2"/>
        <v>4.8</v>
      </c>
      <c r="AI38" s="48">
        <f t="shared" si="3"/>
        <v>4.8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344.79999999999995</v>
      </c>
      <c r="C48" s="60">
        <f t="shared" si="4"/>
        <v>344.79999999999995</v>
      </c>
      <c r="D48" s="60">
        <f t="shared" si="4"/>
        <v>344.79999999999995</v>
      </c>
      <c r="E48" s="60">
        <f t="shared" si="4"/>
        <v>344.79999999999995</v>
      </c>
      <c r="F48" s="60">
        <f t="shared" si="4"/>
        <v>344.79999999999995</v>
      </c>
      <c r="G48" s="60">
        <f t="shared" si="4"/>
        <v>344.79999999999995</v>
      </c>
      <c r="H48" s="60">
        <f t="shared" si="4"/>
        <v>344.79999999999995</v>
      </c>
      <c r="I48" s="60">
        <f t="shared" si="4"/>
        <v>344.79999999999995</v>
      </c>
      <c r="J48" s="60">
        <f t="shared" si="4"/>
        <v>344.79999999999995</v>
      </c>
      <c r="K48" s="60">
        <f t="shared" si="4"/>
        <v>344.79999999999995</v>
      </c>
      <c r="L48" s="60">
        <f t="shared" si="4"/>
        <v>344.79999999999995</v>
      </c>
      <c r="M48" s="60">
        <f t="shared" si="4"/>
        <v>344.79999999999995</v>
      </c>
      <c r="N48" s="60">
        <f t="shared" si="4"/>
        <v>344.79999999999995</v>
      </c>
      <c r="O48" s="60">
        <f t="shared" si="4"/>
        <v>344.79999999999995</v>
      </c>
      <c r="P48" s="60">
        <f t="shared" si="4"/>
        <v>337.79999999999995</v>
      </c>
      <c r="Q48" s="60">
        <f t="shared" si="4"/>
        <v>337.79999999999995</v>
      </c>
      <c r="R48" s="60">
        <f t="shared" si="4"/>
        <v>337.79999999999995</v>
      </c>
      <c r="S48" s="60">
        <f t="shared" si="4"/>
        <v>337.79999999999995</v>
      </c>
      <c r="T48" s="60">
        <f t="shared" si="4"/>
        <v>337.79999999999995</v>
      </c>
      <c r="U48" s="60">
        <f t="shared" si="4"/>
        <v>337.79999999999995</v>
      </c>
      <c r="V48" s="60">
        <f t="shared" si="4"/>
        <v>337.79999999999995</v>
      </c>
      <c r="W48" s="60">
        <f t="shared" si="4"/>
        <v>337.79999999999995</v>
      </c>
      <c r="X48" s="60">
        <f t="shared" si="4"/>
        <v>337.79999999999995</v>
      </c>
      <c r="Y48" s="60">
        <f t="shared" si="4"/>
        <v>337.79999999999995</v>
      </c>
      <c r="Z48" s="60">
        <f t="shared" si="4"/>
        <v>337.79999999999995</v>
      </c>
      <c r="AA48" s="60">
        <f t="shared" si="4"/>
        <v>337.79999999999995</v>
      </c>
      <c r="AB48" s="60">
        <f t="shared" si="4"/>
        <v>337.79999999999995</v>
      </c>
      <c r="AC48" s="60">
        <f t="shared" si="4"/>
        <v>344.79999999999995</v>
      </c>
      <c r="AD48" s="60">
        <f t="shared" si="4"/>
        <v>344.79999999999995</v>
      </c>
      <c r="AE48" s="60">
        <f t="shared" si="4"/>
        <v>344.79999999999995</v>
      </c>
      <c r="AF48" s="60">
        <f t="shared" si="4"/>
        <v>344.79999999999995</v>
      </c>
      <c r="AG48" s="61">
        <f t="shared" si="4"/>
        <v>875.68</v>
      </c>
      <c r="AH48" s="47">
        <f t="shared" si="2"/>
        <v>344.79999999999995</v>
      </c>
      <c r="AI48" s="48">
        <f t="shared" si="3"/>
        <v>337.79999999999995</v>
      </c>
      <c r="AK48" s="49"/>
    </row>
    <row r="49" spans="1:41" x14ac:dyDescent="0.25">
      <c r="A49" s="62" t="s">
        <v>53</v>
      </c>
      <c r="B49" s="45">
        <v>60</v>
      </c>
      <c r="C49" s="45">
        <v>30</v>
      </c>
      <c r="D49" s="45">
        <v>76</v>
      </c>
      <c r="E49" s="45">
        <v>60</v>
      </c>
      <c r="F49" s="45">
        <v>60</v>
      </c>
      <c r="G49" s="45">
        <v>60</v>
      </c>
      <c r="H49" s="45">
        <v>80</v>
      </c>
      <c r="I49" s="45">
        <v>60</v>
      </c>
      <c r="J49" s="45">
        <v>70</v>
      </c>
      <c r="K49" s="45">
        <v>90</v>
      </c>
      <c r="L49" s="45">
        <v>100</v>
      </c>
      <c r="M49" s="63">
        <v>110</v>
      </c>
      <c r="N49" s="63">
        <v>70</v>
      </c>
      <c r="O49" s="63">
        <v>70</v>
      </c>
      <c r="P49" s="63">
        <v>70</v>
      </c>
      <c r="Q49" s="63">
        <v>110</v>
      </c>
      <c r="R49" s="63">
        <v>100</v>
      </c>
      <c r="S49" s="63">
        <v>120</v>
      </c>
      <c r="T49" s="45">
        <v>90</v>
      </c>
      <c r="U49" s="45">
        <v>90</v>
      </c>
      <c r="V49" s="45">
        <v>0</v>
      </c>
      <c r="W49" s="45">
        <v>0</v>
      </c>
      <c r="X49" s="45">
        <v>50</v>
      </c>
      <c r="Y49" s="45">
        <v>100</v>
      </c>
      <c r="Z49" s="45">
        <v>130</v>
      </c>
      <c r="AA49" s="45">
        <v>120</v>
      </c>
      <c r="AB49" s="45">
        <v>120</v>
      </c>
      <c r="AC49" s="45">
        <v>70</v>
      </c>
      <c r="AD49" s="45">
        <v>70</v>
      </c>
      <c r="AE49" s="45">
        <v>70</v>
      </c>
      <c r="AF49" s="45">
        <v>50</v>
      </c>
      <c r="AG49" s="51">
        <v>456</v>
      </c>
      <c r="AH49" s="47">
        <f t="shared" si="2"/>
        <v>130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27</v>
      </c>
      <c r="C50" s="65">
        <v>27</v>
      </c>
      <c r="D50" s="65">
        <v>27</v>
      </c>
      <c r="E50" s="65">
        <v>26</v>
      </c>
      <c r="F50" s="65">
        <v>26</v>
      </c>
      <c r="G50" s="65">
        <v>26</v>
      </c>
      <c r="H50" s="65">
        <v>26</v>
      </c>
      <c r="I50" s="65">
        <v>26</v>
      </c>
      <c r="J50" s="65">
        <v>26</v>
      </c>
      <c r="K50" s="65">
        <v>26</v>
      </c>
      <c r="L50" s="65">
        <v>26</v>
      </c>
      <c r="M50" s="65">
        <v>26</v>
      </c>
      <c r="N50" s="65">
        <v>26</v>
      </c>
      <c r="O50" s="65">
        <v>26</v>
      </c>
      <c r="P50" s="65">
        <v>26</v>
      </c>
      <c r="Q50" s="65">
        <v>26</v>
      </c>
      <c r="R50" s="65">
        <v>26</v>
      </c>
      <c r="S50" s="65">
        <v>26</v>
      </c>
      <c r="T50" s="65">
        <v>26</v>
      </c>
      <c r="U50" s="65">
        <v>26</v>
      </c>
      <c r="V50" s="65">
        <v>26</v>
      </c>
      <c r="W50" s="65">
        <v>26</v>
      </c>
      <c r="X50" s="65">
        <v>26</v>
      </c>
      <c r="Y50" s="65">
        <v>26</v>
      </c>
      <c r="Z50" s="65">
        <v>26</v>
      </c>
      <c r="AA50" s="65">
        <v>26</v>
      </c>
      <c r="AB50" s="65">
        <v>26</v>
      </c>
      <c r="AC50" s="65">
        <v>26</v>
      </c>
      <c r="AD50" s="65">
        <v>26</v>
      </c>
      <c r="AE50" s="65">
        <v>26</v>
      </c>
      <c r="AF50" s="65">
        <v>26</v>
      </c>
      <c r="AG50" s="54">
        <v>60</v>
      </c>
      <c r="AH50" s="47">
        <f t="shared" si="2"/>
        <v>27</v>
      </c>
      <c r="AI50" s="48">
        <f t="shared" si="3"/>
        <v>26</v>
      </c>
      <c r="AK50" s="49"/>
    </row>
    <row r="51" spans="1:41" ht="15.75" thickBot="1" x14ac:dyDescent="0.3">
      <c r="A51" s="66" t="s">
        <v>55</v>
      </c>
      <c r="B51" s="67">
        <v>9.1</v>
      </c>
      <c r="C51" s="67">
        <v>9.1</v>
      </c>
      <c r="D51" s="67">
        <v>9.1</v>
      </c>
      <c r="E51" s="67">
        <v>9.6</v>
      </c>
      <c r="F51" s="67">
        <v>9.6</v>
      </c>
      <c r="G51" s="67">
        <v>9.6</v>
      </c>
      <c r="H51" s="67">
        <v>9.6</v>
      </c>
      <c r="I51" s="67">
        <v>9.6</v>
      </c>
      <c r="J51" s="67">
        <v>9.6</v>
      </c>
      <c r="K51" s="67">
        <v>9.6</v>
      </c>
      <c r="L51" s="67">
        <v>9.6</v>
      </c>
      <c r="M51" s="67">
        <v>9.6</v>
      </c>
      <c r="N51" s="67">
        <v>9.6</v>
      </c>
      <c r="O51" s="67">
        <v>9.6</v>
      </c>
      <c r="P51" s="67">
        <v>9.6</v>
      </c>
      <c r="Q51" s="67">
        <v>9.6</v>
      </c>
      <c r="R51" s="67">
        <v>9.6</v>
      </c>
      <c r="S51" s="67">
        <v>9.6</v>
      </c>
      <c r="T51" s="67">
        <v>9.6</v>
      </c>
      <c r="U51" s="67">
        <v>9.6</v>
      </c>
      <c r="V51" s="67">
        <v>9.6</v>
      </c>
      <c r="W51" s="67">
        <v>9.6</v>
      </c>
      <c r="X51" s="67">
        <v>9.6</v>
      </c>
      <c r="Y51" s="67">
        <v>9.6</v>
      </c>
      <c r="Z51" s="67">
        <v>9.6</v>
      </c>
      <c r="AA51" s="67">
        <v>9.6</v>
      </c>
      <c r="AB51" s="67">
        <v>9.6</v>
      </c>
      <c r="AC51" s="67">
        <v>9.6</v>
      </c>
      <c r="AD51" s="67">
        <v>9.6</v>
      </c>
      <c r="AE51" s="67">
        <v>9.6</v>
      </c>
      <c r="AF51" s="67">
        <v>9.6</v>
      </c>
      <c r="AG51" s="68">
        <v>22.1</v>
      </c>
      <c r="AH51" s="47">
        <f t="shared" si="2"/>
        <v>9.6</v>
      </c>
      <c r="AI51" s="48">
        <f t="shared" si="3"/>
        <v>9.1</v>
      </c>
      <c r="AK51" s="49"/>
    </row>
    <row r="52" spans="1:41" ht="15.75" thickBot="1" x14ac:dyDescent="0.3">
      <c r="A52" s="69" t="s">
        <v>56</v>
      </c>
      <c r="B52" s="60">
        <f t="shared" ref="B52:AG52" si="5">SUM(B49:B51)</f>
        <v>96.1</v>
      </c>
      <c r="C52" s="60">
        <f t="shared" si="5"/>
        <v>66.099999999999994</v>
      </c>
      <c r="D52" s="60">
        <f t="shared" si="5"/>
        <v>112.1</v>
      </c>
      <c r="E52" s="60">
        <f t="shared" si="5"/>
        <v>95.6</v>
      </c>
      <c r="F52" s="60">
        <f t="shared" si="5"/>
        <v>95.6</v>
      </c>
      <c r="G52" s="60">
        <f t="shared" si="5"/>
        <v>95.6</v>
      </c>
      <c r="H52" s="60">
        <f t="shared" si="5"/>
        <v>115.6</v>
      </c>
      <c r="I52" s="60">
        <f t="shared" si="5"/>
        <v>95.6</v>
      </c>
      <c r="J52" s="60">
        <f t="shared" si="5"/>
        <v>105.6</v>
      </c>
      <c r="K52" s="60">
        <f t="shared" si="5"/>
        <v>125.6</v>
      </c>
      <c r="L52" s="60">
        <f t="shared" si="5"/>
        <v>135.6</v>
      </c>
      <c r="M52" s="60">
        <f t="shared" si="5"/>
        <v>145.6</v>
      </c>
      <c r="N52" s="60">
        <f t="shared" si="5"/>
        <v>105.6</v>
      </c>
      <c r="O52" s="60">
        <f t="shared" si="5"/>
        <v>105.6</v>
      </c>
      <c r="P52" s="60">
        <f t="shared" si="5"/>
        <v>105.6</v>
      </c>
      <c r="Q52" s="60">
        <f t="shared" si="5"/>
        <v>145.6</v>
      </c>
      <c r="R52" s="60">
        <f t="shared" si="5"/>
        <v>135.6</v>
      </c>
      <c r="S52" s="60">
        <f t="shared" si="5"/>
        <v>155.6</v>
      </c>
      <c r="T52" s="60">
        <f t="shared" si="5"/>
        <v>125.6</v>
      </c>
      <c r="U52" s="60">
        <f t="shared" si="5"/>
        <v>125.6</v>
      </c>
      <c r="V52" s="60">
        <f t="shared" si="5"/>
        <v>35.6</v>
      </c>
      <c r="W52" s="60">
        <f t="shared" si="5"/>
        <v>35.6</v>
      </c>
      <c r="X52" s="60">
        <f t="shared" si="5"/>
        <v>85.6</v>
      </c>
      <c r="Y52" s="60">
        <f t="shared" si="5"/>
        <v>135.6</v>
      </c>
      <c r="Z52" s="60">
        <f t="shared" si="5"/>
        <v>165.6</v>
      </c>
      <c r="AA52" s="60">
        <f t="shared" si="5"/>
        <v>155.6</v>
      </c>
      <c r="AB52" s="60">
        <f t="shared" si="5"/>
        <v>155.6</v>
      </c>
      <c r="AC52" s="60">
        <f t="shared" si="5"/>
        <v>105.6</v>
      </c>
      <c r="AD52" s="60">
        <f t="shared" si="5"/>
        <v>105.6</v>
      </c>
      <c r="AE52" s="60">
        <f t="shared" si="5"/>
        <v>105.6</v>
      </c>
      <c r="AF52" s="60">
        <f t="shared" si="5"/>
        <v>85.6</v>
      </c>
      <c r="AG52" s="61">
        <f t="shared" si="5"/>
        <v>538.1</v>
      </c>
      <c r="AH52" s="47">
        <f t="shared" si="2"/>
        <v>165.6</v>
      </c>
      <c r="AI52" s="48">
        <f t="shared" si="3"/>
        <v>35.6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45</v>
      </c>
      <c r="I53" s="45">
        <v>80</v>
      </c>
      <c r="J53" s="45">
        <v>83</v>
      </c>
      <c r="K53" s="45">
        <v>83.3</v>
      </c>
      <c r="L53" s="45">
        <v>93</v>
      </c>
      <c r="M53" s="45">
        <v>92.9</v>
      </c>
      <c r="N53" s="45">
        <v>76</v>
      </c>
      <c r="O53" s="45">
        <v>76</v>
      </c>
      <c r="P53" s="45">
        <v>65</v>
      </c>
      <c r="Q53" s="45">
        <v>83</v>
      </c>
      <c r="R53" s="45">
        <v>70</v>
      </c>
      <c r="S53" s="45">
        <v>94</v>
      </c>
      <c r="T53" s="45">
        <v>47.3</v>
      </c>
      <c r="U53" s="45">
        <v>46.7</v>
      </c>
      <c r="V53" s="45">
        <v>0</v>
      </c>
      <c r="W53" s="45">
        <v>0</v>
      </c>
      <c r="X53" s="45">
        <v>0</v>
      </c>
      <c r="Y53" s="45">
        <v>90</v>
      </c>
      <c r="Z53" s="45">
        <v>124.5</v>
      </c>
      <c r="AA53" s="45">
        <v>132</v>
      </c>
      <c r="AB53" s="45">
        <v>112</v>
      </c>
      <c r="AC53" s="45">
        <v>80</v>
      </c>
      <c r="AD53" s="45">
        <v>62.5</v>
      </c>
      <c r="AE53" s="45">
        <v>32.5</v>
      </c>
      <c r="AF53" s="45">
        <v>0</v>
      </c>
      <c r="AG53" s="51">
        <v>144</v>
      </c>
      <c r="AH53" s="47">
        <f t="shared" si="2"/>
        <v>132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17.5</v>
      </c>
      <c r="C55" s="65">
        <v>17.5</v>
      </c>
      <c r="D55" s="65">
        <v>23.4</v>
      </c>
      <c r="E55" s="65">
        <v>22.5</v>
      </c>
      <c r="F55" s="65">
        <v>22.5</v>
      </c>
      <c r="G55" s="65">
        <v>22.7</v>
      </c>
      <c r="H55" s="65">
        <v>22</v>
      </c>
      <c r="I55" s="65">
        <v>34.4</v>
      </c>
      <c r="J55" s="65">
        <v>47.9</v>
      </c>
      <c r="K55" s="65">
        <v>64</v>
      </c>
      <c r="L55" s="65">
        <v>64</v>
      </c>
      <c r="M55" s="65">
        <v>40.9</v>
      </c>
      <c r="N55" s="65">
        <v>33</v>
      </c>
      <c r="O55" s="65">
        <v>33</v>
      </c>
      <c r="P55" s="65">
        <v>33</v>
      </c>
      <c r="Q55" s="65">
        <v>40</v>
      </c>
      <c r="R55" s="65">
        <v>45</v>
      </c>
      <c r="S55" s="65">
        <v>45</v>
      </c>
      <c r="T55" s="65">
        <v>22.3</v>
      </c>
      <c r="U55" s="65">
        <v>22.6</v>
      </c>
      <c r="V55" s="65">
        <v>17.2</v>
      </c>
      <c r="W55" s="65">
        <v>17.2</v>
      </c>
      <c r="X55" s="65">
        <v>35</v>
      </c>
      <c r="Y55" s="65">
        <v>42</v>
      </c>
      <c r="Z55" s="65">
        <v>68.7</v>
      </c>
      <c r="AA55" s="65">
        <v>49.6</v>
      </c>
      <c r="AB55" s="65">
        <v>47</v>
      </c>
      <c r="AC55" s="65">
        <v>32.4</v>
      </c>
      <c r="AD55" s="65">
        <v>17.8</v>
      </c>
      <c r="AE55" s="65">
        <v>0</v>
      </c>
      <c r="AF55" s="65">
        <v>0</v>
      </c>
      <c r="AG55" s="54">
        <v>69</v>
      </c>
      <c r="AH55" s="47">
        <f t="shared" si="2"/>
        <v>68.7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38</v>
      </c>
      <c r="C56" s="65">
        <v>38</v>
      </c>
      <c r="D56" s="65">
        <v>38</v>
      </c>
      <c r="E56" s="56">
        <v>38</v>
      </c>
      <c r="F56" s="56">
        <v>38</v>
      </c>
      <c r="G56" s="56">
        <v>38</v>
      </c>
      <c r="H56" s="56">
        <v>38</v>
      </c>
      <c r="I56" s="56">
        <v>38</v>
      </c>
      <c r="J56" s="56">
        <v>37.799999999999997</v>
      </c>
      <c r="K56" s="56">
        <v>38</v>
      </c>
      <c r="L56" s="56">
        <v>38</v>
      </c>
      <c r="M56" s="65">
        <v>38</v>
      </c>
      <c r="N56" s="65">
        <v>38</v>
      </c>
      <c r="O56" s="65">
        <v>38</v>
      </c>
      <c r="P56" s="65">
        <v>38</v>
      </c>
      <c r="Q56" s="65">
        <v>35.5</v>
      </c>
      <c r="R56" s="65">
        <v>35.5</v>
      </c>
      <c r="S56" s="65">
        <v>35.5</v>
      </c>
      <c r="T56" s="65">
        <v>35.5</v>
      </c>
      <c r="U56" s="65">
        <v>36.299999999999997</v>
      </c>
      <c r="V56" s="65">
        <v>36.299999999999997</v>
      </c>
      <c r="W56" s="65">
        <v>36.299999999999997</v>
      </c>
      <c r="X56" s="65">
        <v>36.299999999999997</v>
      </c>
      <c r="Y56" s="65">
        <v>39.1</v>
      </c>
      <c r="Z56" s="65">
        <v>39.1</v>
      </c>
      <c r="AA56" s="65">
        <v>38.299999999999997</v>
      </c>
      <c r="AB56" s="65">
        <v>47</v>
      </c>
      <c r="AC56" s="65">
        <v>47</v>
      </c>
      <c r="AD56" s="65">
        <v>47</v>
      </c>
      <c r="AE56" s="65">
        <v>47</v>
      </c>
      <c r="AF56" s="65">
        <v>36.299999999999997</v>
      </c>
      <c r="AG56" s="54">
        <v>60</v>
      </c>
      <c r="AH56" s="47">
        <f t="shared" si="2"/>
        <v>47</v>
      </c>
      <c r="AI56" s="48">
        <f t="shared" si="3"/>
        <v>35.5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15</v>
      </c>
      <c r="L57" s="56">
        <v>13</v>
      </c>
      <c r="M57" s="65">
        <v>12.6</v>
      </c>
      <c r="N57" s="65">
        <v>12.6</v>
      </c>
      <c r="O57" s="65">
        <v>15</v>
      </c>
      <c r="P57" s="65">
        <v>15</v>
      </c>
      <c r="Q57" s="65">
        <v>14</v>
      </c>
      <c r="R57" s="65">
        <v>14</v>
      </c>
      <c r="S57" s="65">
        <v>0</v>
      </c>
      <c r="T57" s="65">
        <v>15</v>
      </c>
      <c r="U57" s="65">
        <v>0</v>
      </c>
      <c r="V57" s="65">
        <v>0</v>
      </c>
      <c r="W57" s="65">
        <v>0</v>
      </c>
      <c r="X57" s="65">
        <v>10</v>
      </c>
      <c r="Y57" s="65">
        <v>27</v>
      </c>
      <c r="Z57" s="65">
        <v>29</v>
      </c>
      <c r="AA57" s="65">
        <v>29</v>
      </c>
      <c r="AB57" s="65">
        <v>12</v>
      </c>
      <c r="AC57" s="65">
        <v>10</v>
      </c>
      <c r="AD57" s="65">
        <v>10</v>
      </c>
      <c r="AE57" s="65">
        <v>0</v>
      </c>
      <c r="AF57" s="65">
        <v>0</v>
      </c>
      <c r="AG57" s="54">
        <v>30</v>
      </c>
      <c r="AH57" s="47">
        <f t="shared" si="2"/>
        <v>29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12</v>
      </c>
      <c r="C59" s="65">
        <v>12</v>
      </c>
      <c r="D59" s="65">
        <v>12</v>
      </c>
      <c r="E59" s="65">
        <v>12</v>
      </c>
      <c r="F59" s="65">
        <v>12</v>
      </c>
      <c r="G59" s="65">
        <v>12</v>
      </c>
      <c r="H59" s="65">
        <v>12</v>
      </c>
      <c r="I59" s="65">
        <v>12</v>
      </c>
      <c r="J59" s="65">
        <v>12</v>
      </c>
      <c r="K59" s="65">
        <v>12</v>
      </c>
      <c r="L59" s="65">
        <v>12</v>
      </c>
      <c r="M59" s="65">
        <v>12</v>
      </c>
      <c r="N59" s="65">
        <v>12</v>
      </c>
      <c r="O59" s="65">
        <v>12</v>
      </c>
      <c r="P59" s="65">
        <v>12</v>
      </c>
      <c r="Q59" s="65">
        <v>12</v>
      </c>
      <c r="R59" s="65">
        <v>12</v>
      </c>
      <c r="S59" s="65">
        <v>12</v>
      </c>
      <c r="T59" s="65">
        <v>12</v>
      </c>
      <c r="U59" s="65">
        <v>12</v>
      </c>
      <c r="V59" s="65">
        <v>12</v>
      </c>
      <c r="W59" s="65">
        <v>12</v>
      </c>
      <c r="X59" s="65">
        <v>12</v>
      </c>
      <c r="Y59" s="65">
        <v>12</v>
      </c>
      <c r="Z59" s="65">
        <v>12</v>
      </c>
      <c r="AA59" s="65">
        <v>12</v>
      </c>
      <c r="AB59" s="65">
        <v>12</v>
      </c>
      <c r="AC59" s="65">
        <v>12</v>
      </c>
      <c r="AD59" s="65">
        <v>12</v>
      </c>
      <c r="AE59" s="65">
        <v>12</v>
      </c>
      <c r="AF59" s="65">
        <v>12</v>
      </c>
      <c r="AG59" s="54">
        <v>24</v>
      </c>
      <c r="AH59" s="47">
        <f t="shared" si="2"/>
        <v>12</v>
      </c>
      <c r="AI59" s="48">
        <f t="shared" si="3"/>
        <v>12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15</v>
      </c>
      <c r="AH60" s="47">
        <f t="shared" si="2"/>
        <v>3.2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9.3000000000000007</v>
      </c>
      <c r="G61" s="65">
        <v>9.3000000000000007</v>
      </c>
      <c r="H61" s="65">
        <v>9.3000000000000007</v>
      </c>
      <c r="I61" s="65">
        <v>9.3000000000000007</v>
      </c>
      <c r="J61" s="65">
        <v>9.3000000000000007</v>
      </c>
      <c r="K61" s="65">
        <v>9.3000000000000007</v>
      </c>
      <c r="L61" s="65">
        <v>9.3000000000000007</v>
      </c>
      <c r="M61" s="65">
        <v>9.3000000000000007</v>
      </c>
      <c r="N61" s="65">
        <v>9.3000000000000007</v>
      </c>
      <c r="O61" s="65">
        <v>9.3000000000000007</v>
      </c>
      <c r="P61" s="65">
        <v>9.3000000000000007</v>
      </c>
      <c r="Q61" s="65">
        <v>9.3000000000000007</v>
      </c>
      <c r="R61" s="65">
        <v>9.3000000000000007</v>
      </c>
      <c r="S61" s="65">
        <v>9.3000000000000007</v>
      </c>
      <c r="T61" s="65">
        <v>9.3000000000000007</v>
      </c>
      <c r="U61" s="65">
        <v>9.3000000000000007</v>
      </c>
      <c r="V61" s="65">
        <v>9.3000000000000007</v>
      </c>
      <c r="W61" s="65">
        <v>9.3000000000000007</v>
      </c>
      <c r="X61" s="65">
        <v>9.3000000000000007</v>
      </c>
      <c r="Y61" s="65">
        <v>9.3000000000000007</v>
      </c>
      <c r="Z61" s="65">
        <v>9.3000000000000007</v>
      </c>
      <c r="AA61" s="65">
        <v>9.3000000000000007</v>
      </c>
      <c r="AB61" s="65">
        <v>9.3000000000000007</v>
      </c>
      <c r="AC61" s="65">
        <v>9.3000000000000007</v>
      </c>
      <c r="AD61" s="65">
        <v>9.3000000000000007</v>
      </c>
      <c r="AE61" s="65">
        <v>9.3000000000000007</v>
      </c>
      <c r="AF61" s="65">
        <v>9.3000000000000007</v>
      </c>
      <c r="AG61" s="54">
        <v>14.1</v>
      </c>
      <c r="AH61" s="47">
        <f t="shared" si="2"/>
        <v>9.3000000000000007</v>
      </c>
      <c r="AI61" s="48">
        <f t="shared" si="3"/>
        <v>9.3000000000000007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5.2</v>
      </c>
      <c r="C62" s="65">
        <v>5.2</v>
      </c>
      <c r="D62" s="65">
        <v>5.2</v>
      </c>
      <c r="E62" s="65">
        <v>5.2</v>
      </c>
      <c r="F62" s="65">
        <v>5.2</v>
      </c>
      <c r="G62" s="65">
        <v>5.2</v>
      </c>
      <c r="H62" s="65">
        <v>5.2</v>
      </c>
      <c r="I62" s="65">
        <v>5.2</v>
      </c>
      <c r="J62" s="65">
        <v>5.2</v>
      </c>
      <c r="K62" s="65">
        <v>5.2</v>
      </c>
      <c r="L62" s="65">
        <v>2.9</v>
      </c>
      <c r="M62" s="65">
        <v>2.9</v>
      </c>
      <c r="N62" s="65">
        <v>2.9</v>
      </c>
      <c r="O62" s="65">
        <v>2.9</v>
      </c>
      <c r="P62" s="65">
        <v>2.9</v>
      </c>
      <c r="Q62" s="65">
        <v>2.9</v>
      </c>
      <c r="R62" s="65">
        <v>2.9</v>
      </c>
      <c r="S62" s="65">
        <v>2.9</v>
      </c>
      <c r="T62" s="65">
        <v>2.9</v>
      </c>
      <c r="U62" s="65">
        <v>2.9</v>
      </c>
      <c r="V62" s="65">
        <v>2.9</v>
      </c>
      <c r="W62" s="65">
        <v>2.9</v>
      </c>
      <c r="X62" s="65">
        <v>2.9</v>
      </c>
      <c r="Y62" s="65">
        <v>2.9</v>
      </c>
      <c r="Z62" s="65">
        <v>2.9</v>
      </c>
      <c r="AA62" s="65">
        <v>2.9</v>
      </c>
      <c r="AB62" s="65">
        <v>2.9</v>
      </c>
      <c r="AC62" s="65">
        <v>2.9</v>
      </c>
      <c r="AD62" s="65">
        <v>2.9</v>
      </c>
      <c r="AE62" s="65">
        <v>2.9</v>
      </c>
      <c r="AF62" s="65">
        <v>2.9</v>
      </c>
      <c r="AG62" s="54">
        <v>14</v>
      </c>
      <c r="AH62" s="47">
        <f t="shared" si="2"/>
        <v>5.2</v>
      </c>
      <c r="AI62" s="48">
        <f t="shared" si="3"/>
        <v>2.9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4.5999999999999996</v>
      </c>
      <c r="AI63" s="48">
        <f t="shared" si="3"/>
        <v>4.5999999999999996</v>
      </c>
      <c r="AK63" s="49"/>
    </row>
    <row r="64" spans="1:41" x14ac:dyDescent="0.25">
      <c r="A64" s="53" t="s">
        <v>68</v>
      </c>
      <c r="B64" s="65">
        <v>1.6</v>
      </c>
      <c r="C64" s="65">
        <v>1.6</v>
      </c>
      <c r="D64" s="65">
        <v>1.6</v>
      </c>
      <c r="E64" s="65">
        <v>1.6</v>
      </c>
      <c r="F64" s="65">
        <v>1.6</v>
      </c>
      <c r="G64" s="65">
        <v>1.6</v>
      </c>
      <c r="H64" s="65">
        <v>1.6</v>
      </c>
      <c r="I64" s="65">
        <v>1.6</v>
      </c>
      <c r="J64" s="65">
        <v>1.6</v>
      </c>
      <c r="K64" s="65">
        <v>1.6</v>
      </c>
      <c r="L64" s="65">
        <v>1.6</v>
      </c>
      <c r="M64" s="65">
        <v>1.6</v>
      </c>
      <c r="N64" s="65">
        <v>1.6</v>
      </c>
      <c r="O64" s="65">
        <v>1.6</v>
      </c>
      <c r="P64" s="65">
        <v>1.6</v>
      </c>
      <c r="Q64" s="65">
        <v>1.6</v>
      </c>
      <c r="R64" s="65">
        <v>1.6</v>
      </c>
      <c r="S64" s="65">
        <v>1.6</v>
      </c>
      <c r="T64" s="65">
        <v>1.6</v>
      </c>
      <c r="U64" s="65">
        <v>1.6</v>
      </c>
      <c r="V64" s="65">
        <v>1.6</v>
      </c>
      <c r="W64" s="65">
        <v>1.6</v>
      </c>
      <c r="X64" s="65">
        <v>1.6</v>
      </c>
      <c r="Y64" s="65">
        <v>1.6</v>
      </c>
      <c r="Z64" s="65">
        <v>1.6</v>
      </c>
      <c r="AA64" s="65">
        <v>1.6</v>
      </c>
      <c r="AB64" s="65">
        <v>1.6</v>
      </c>
      <c r="AC64" s="65">
        <v>1.6</v>
      </c>
      <c r="AD64" s="65">
        <v>1.6</v>
      </c>
      <c r="AE64" s="65">
        <v>1.6</v>
      </c>
      <c r="AF64" s="65">
        <v>1.6</v>
      </c>
      <c r="AG64" s="54">
        <v>6.2</v>
      </c>
      <c r="AH64" s="47">
        <f t="shared" si="2"/>
        <v>1.6</v>
      </c>
      <c r="AI64" s="48">
        <f t="shared" si="3"/>
        <v>1.6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6">SUM(B53:B65)</f>
        <v>94.94</v>
      </c>
      <c r="C66" s="60">
        <f t="shared" si="6"/>
        <v>94.94</v>
      </c>
      <c r="D66" s="60">
        <f t="shared" si="6"/>
        <v>100.84</v>
      </c>
      <c r="E66" s="60">
        <f t="shared" si="6"/>
        <v>99.94</v>
      </c>
      <c r="F66" s="60">
        <f t="shared" si="6"/>
        <v>99.94</v>
      </c>
      <c r="G66" s="60">
        <f t="shared" si="6"/>
        <v>100.14</v>
      </c>
      <c r="H66" s="60">
        <f t="shared" si="6"/>
        <v>144.43999999999997</v>
      </c>
      <c r="I66" s="60">
        <f t="shared" si="6"/>
        <v>191.83999999999997</v>
      </c>
      <c r="J66" s="60">
        <f t="shared" si="6"/>
        <v>208.13999999999996</v>
      </c>
      <c r="K66" s="60">
        <f t="shared" si="6"/>
        <v>239.73999999999998</v>
      </c>
      <c r="L66" s="60">
        <f t="shared" si="6"/>
        <v>245.14</v>
      </c>
      <c r="M66" s="60">
        <f t="shared" si="6"/>
        <v>221.54</v>
      </c>
      <c r="N66" s="60">
        <f t="shared" si="6"/>
        <v>196.73999999999998</v>
      </c>
      <c r="O66" s="60">
        <f t="shared" si="6"/>
        <v>199.14</v>
      </c>
      <c r="P66" s="60">
        <f t="shared" si="6"/>
        <v>188.14</v>
      </c>
      <c r="Q66" s="60">
        <f t="shared" si="6"/>
        <v>209.64</v>
      </c>
      <c r="R66" s="60">
        <f t="shared" si="6"/>
        <v>201.64</v>
      </c>
      <c r="S66" s="60">
        <f t="shared" si="6"/>
        <v>211.64</v>
      </c>
      <c r="T66" s="60">
        <f t="shared" si="6"/>
        <v>157.23999999999998</v>
      </c>
      <c r="U66" s="60">
        <f t="shared" si="6"/>
        <v>142.74</v>
      </c>
      <c r="V66" s="60">
        <f t="shared" si="6"/>
        <v>90.64</v>
      </c>
      <c r="W66" s="60">
        <f t="shared" si="6"/>
        <v>90.64</v>
      </c>
      <c r="X66" s="60">
        <f t="shared" si="6"/>
        <v>118.44</v>
      </c>
      <c r="Y66" s="60">
        <f t="shared" si="6"/>
        <v>235.23999999999998</v>
      </c>
      <c r="Z66" s="60">
        <f t="shared" si="6"/>
        <v>298.44</v>
      </c>
      <c r="AA66" s="60">
        <f t="shared" si="6"/>
        <v>286.04000000000002</v>
      </c>
      <c r="AB66" s="60">
        <f t="shared" si="6"/>
        <v>255.14</v>
      </c>
      <c r="AC66" s="60">
        <f t="shared" si="6"/>
        <v>206.54</v>
      </c>
      <c r="AD66" s="60">
        <f t="shared" si="6"/>
        <v>174.44</v>
      </c>
      <c r="AE66" s="60">
        <f t="shared" si="6"/>
        <v>116.64</v>
      </c>
      <c r="AF66" s="60">
        <f t="shared" si="6"/>
        <v>73.44</v>
      </c>
      <c r="AG66" s="61">
        <f t="shared" si="6"/>
        <v>489.91</v>
      </c>
      <c r="AH66" s="47">
        <f t="shared" si="2"/>
        <v>298.44</v>
      </c>
      <c r="AI66" s="48">
        <f t="shared" si="3"/>
        <v>73.44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25</v>
      </c>
      <c r="J67" s="45">
        <v>25</v>
      </c>
      <c r="K67" s="45">
        <v>20</v>
      </c>
      <c r="L67" s="45">
        <v>30</v>
      </c>
      <c r="M67" s="45">
        <v>30</v>
      </c>
      <c r="N67" s="45">
        <v>30</v>
      </c>
      <c r="O67" s="45">
        <v>10</v>
      </c>
      <c r="P67" s="45">
        <v>20</v>
      </c>
      <c r="Q67" s="45">
        <v>30</v>
      </c>
      <c r="R67" s="45">
        <v>30</v>
      </c>
      <c r="S67" s="45">
        <v>40</v>
      </c>
      <c r="T67" s="45">
        <v>60</v>
      </c>
      <c r="U67" s="45">
        <v>60</v>
      </c>
      <c r="V67" s="45">
        <v>60</v>
      </c>
      <c r="W67" s="45">
        <v>60</v>
      </c>
      <c r="X67" s="45">
        <v>60</v>
      </c>
      <c r="Y67" s="45">
        <v>50</v>
      </c>
      <c r="Z67" s="45">
        <v>30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10.5</v>
      </c>
      <c r="J68" s="65">
        <v>10.5</v>
      </c>
      <c r="K68" s="65">
        <v>9.4</v>
      </c>
      <c r="L68" s="65">
        <v>11.5</v>
      </c>
      <c r="M68" s="65">
        <v>14.4</v>
      </c>
      <c r="N68" s="65">
        <v>14.4</v>
      </c>
      <c r="O68" s="65">
        <v>4.8</v>
      </c>
      <c r="P68" s="65">
        <v>10</v>
      </c>
      <c r="Q68" s="45">
        <v>14</v>
      </c>
      <c r="R68" s="45">
        <v>14</v>
      </c>
      <c r="S68" s="65">
        <v>15.7</v>
      </c>
      <c r="T68" s="65">
        <v>25.9</v>
      </c>
      <c r="U68" s="65">
        <v>27.6</v>
      </c>
      <c r="V68" s="65">
        <v>27.6</v>
      </c>
      <c r="W68" s="65">
        <v>29</v>
      </c>
      <c r="X68" s="65">
        <v>28</v>
      </c>
      <c r="Y68" s="65">
        <v>23.5</v>
      </c>
      <c r="Z68" s="65">
        <v>17</v>
      </c>
      <c r="AA68" s="65">
        <v>5.8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29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3.8</v>
      </c>
      <c r="J69" s="67">
        <v>3.8</v>
      </c>
      <c r="K69" s="67">
        <v>3.4</v>
      </c>
      <c r="L69" s="67">
        <v>4.2</v>
      </c>
      <c r="M69" s="67">
        <v>5.3</v>
      </c>
      <c r="N69" s="67">
        <v>5.3</v>
      </c>
      <c r="O69" s="67">
        <v>5.3</v>
      </c>
      <c r="P69" s="67">
        <v>5.3</v>
      </c>
      <c r="Q69" s="45">
        <v>5.3</v>
      </c>
      <c r="R69" s="45">
        <v>5.3</v>
      </c>
      <c r="S69" s="67">
        <v>5.7</v>
      </c>
      <c r="T69" s="67">
        <v>9.4</v>
      </c>
      <c r="U69" s="67">
        <v>10.1</v>
      </c>
      <c r="V69" s="67">
        <v>10.1</v>
      </c>
      <c r="W69" s="67">
        <v>10.1</v>
      </c>
      <c r="X69" s="67">
        <v>10.1</v>
      </c>
      <c r="Y69" s="67">
        <v>8.6</v>
      </c>
      <c r="Z69" s="67">
        <v>6.2</v>
      </c>
      <c r="AA69" s="67">
        <v>2.1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10.1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7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45.7</v>
      </c>
      <c r="M70" s="60">
        <f t="shared" ref="M70:AF70" si="8">M67+M68+M69</f>
        <v>49.699999999999996</v>
      </c>
      <c r="N70" s="60">
        <f t="shared" si="8"/>
        <v>49.699999999999996</v>
      </c>
      <c r="O70" s="60">
        <f t="shared" si="8"/>
        <v>20.100000000000001</v>
      </c>
      <c r="P70" s="60">
        <f t="shared" si="8"/>
        <v>35.299999999999997</v>
      </c>
      <c r="Q70" s="60">
        <f t="shared" si="8"/>
        <v>49.3</v>
      </c>
      <c r="R70" s="60">
        <f t="shared" si="8"/>
        <v>49.3</v>
      </c>
      <c r="S70" s="60">
        <f t="shared" si="8"/>
        <v>61.400000000000006</v>
      </c>
      <c r="T70" s="60">
        <f t="shared" si="8"/>
        <v>95.300000000000011</v>
      </c>
      <c r="U70" s="60">
        <f t="shared" si="8"/>
        <v>97.699999999999989</v>
      </c>
      <c r="V70" s="60">
        <f t="shared" si="8"/>
        <v>97.699999999999989</v>
      </c>
      <c r="W70" s="60">
        <f t="shared" si="8"/>
        <v>99.1</v>
      </c>
      <c r="X70" s="60">
        <f t="shared" si="8"/>
        <v>98.1</v>
      </c>
      <c r="Y70" s="60">
        <f t="shared" si="8"/>
        <v>82.1</v>
      </c>
      <c r="Z70" s="60">
        <f t="shared" si="8"/>
        <v>53.2</v>
      </c>
      <c r="AA70" s="60">
        <f t="shared" si="8"/>
        <v>7.9</v>
      </c>
      <c r="AB70" s="60">
        <f t="shared" si="8"/>
        <v>0</v>
      </c>
      <c r="AC70" s="60">
        <f t="shared" si="8"/>
        <v>0</v>
      </c>
      <c r="AD70" s="60">
        <f t="shared" si="8"/>
        <v>0</v>
      </c>
      <c r="AE70" s="60">
        <f t="shared" si="8"/>
        <v>0</v>
      </c>
      <c r="AF70" s="60">
        <f t="shared" si="8"/>
        <v>0</v>
      </c>
      <c r="AG70" s="61">
        <f>SUM(AG67:AG69)</f>
        <v>106</v>
      </c>
      <c r="AH70" s="47">
        <f t="shared" si="2"/>
        <v>99.1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64</v>
      </c>
      <c r="C71" s="45">
        <v>63</v>
      </c>
      <c r="D71" s="45">
        <v>55</v>
      </c>
      <c r="E71" s="45">
        <v>48</v>
      </c>
      <c r="F71" s="45">
        <v>48.2</v>
      </c>
      <c r="G71" s="45">
        <v>69.5</v>
      </c>
      <c r="H71" s="45">
        <v>72</v>
      </c>
      <c r="I71" s="45">
        <v>65.900000000000006</v>
      </c>
      <c r="J71" s="45">
        <v>69.8</v>
      </c>
      <c r="K71" s="45">
        <v>72.3</v>
      </c>
      <c r="L71" s="45">
        <v>67.599999999999994</v>
      </c>
      <c r="M71" s="45">
        <v>60</v>
      </c>
      <c r="N71" s="45">
        <v>61.5</v>
      </c>
      <c r="O71" s="45">
        <v>70</v>
      </c>
      <c r="P71" s="45">
        <v>71</v>
      </c>
      <c r="Q71" s="45">
        <v>64</v>
      </c>
      <c r="R71" s="45">
        <v>71</v>
      </c>
      <c r="S71" s="45">
        <v>56.4</v>
      </c>
      <c r="T71" s="45">
        <v>57.9</v>
      </c>
      <c r="U71" s="45">
        <v>73.7</v>
      </c>
      <c r="V71" s="45">
        <v>66.400000000000006</v>
      </c>
      <c r="W71" s="45">
        <v>76.400000000000006</v>
      </c>
      <c r="X71" s="45">
        <v>63</v>
      </c>
      <c r="Y71" s="45">
        <v>53</v>
      </c>
      <c r="Z71" s="45">
        <v>72.7</v>
      </c>
      <c r="AA71" s="45">
        <v>71.7</v>
      </c>
      <c r="AB71" s="45">
        <v>66.599999999999994</v>
      </c>
      <c r="AC71" s="45">
        <v>62.5</v>
      </c>
      <c r="AD71" s="45">
        <v>57.8</v>
      </c>
      <c r="AE71" s="45">
        <v>55.7</v>
      </c>
      <c r="AF71" s="45">
        <v>55.7</v>
      </c>
      <c r="AG71" s="51"/>
      <c r="AH71" s="47">
        <f t="shared" si="2"/>
        <v>76.400000000000006</v>
      </c>
      <c r="AI71" s="48">
        <f t="shared" si="3"/>
        <v>48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305</v>
      </c>
      <c r="C73" s="65">
        <v>333</v>
      </c>
      <c r="D73" s="65">
        <v>308</v>
      </c>
      <c r="E73" s="65">
        <v>306</v>
      </c>
      <c r="F73" s="65">
        <v>293.60000000000002</v>
      </c>
      <c r="G73" s="65">
        <v>324.5</v>
      </c>
      <c r="H73" s="65">
        <v>327</v>
      </c>
      <c r="I73" s="65">
        <v>349.8</v>
      </c>
      <c r="J73" s="65">
        <v>341.3</v>
      </c>
      <c r="K73" s="65">
        <v>344.7</v>
      </c>
      <c r="L73" s="65">
        <v>343</v>
      </c>
      <c r="M73" s="65">
        <v>333.3</v>
      </c>
      <c r="N73" s="65">
        <v>331.3</v>
      </c>
      <c r="O73" s="65">
        <v>347</v>
      </c>
      <c r="P73" s="65">
        <v>372</v>
      </c>
      <c r="Q73" s="65">
        <v>348</v>
      </c>
      <c r="R73" s="65">
        <v>360</v>
      </c>
      <c r="S73" s="65">
        <v>350</v>
      </c>
      <c r="T73" s="65">
        <v>340</v>
      </c>
      <c r="U73" s="65">
        <v>380</v>
      </c>
      <c r="V73" s="65">
        <v>349</v>
      </c>
      <c r="W73" s="65">
        <v>372</v>
      </c>
      <c r="X73" s="65">
        <v>361</v>
      </c>
      <c r="Y73" s="65">
        <v>322</v>
      </c>
      <c r="Z73" s="65">
        <v>332</v>
      </c>
      <c r="AA73" s="65">
        <v>337</v>
      </c>
      <c r="AB73" s="65">
        <v>340</v>
      </c>
      <c r="AC73" s="65">
        <v>330.3</v>
      </c>
      <c r="AD73" s="65">
        <v>353.5</v>
      </c>
      <c r="AE73" s="65">
        <v>353.9</v>
      </c>
      <c r="AF73" s="65">
        <v>357.3</v>
      </c>
      <c r="AG73" s="75"/>
      <c r="AH73" s="47">
        <f t="shared" si="2"/>
        <v>380</v>
      </c>
      <c r="AI73" s="48">
        <f t="shared" si="3"/>
        <v>293.60000000000002</v>
      </c>
      <c r="AK73" s="49"/>
    </row>
    <row r="74" spans="1:40" x14ac:dyDescent="0.25">
      <c r="A74" s="53" t="s">
        <v>78</v>
      </c>
      <c r="B74" s="65">
        <v>58</v>
      </c>
      <c r="C74" s="65">
        <v>58</v>
      </c>
      <c r="D74" s="65">
        <v>58</v>
      </c>
      <c r="E74" s="76">
        <v>59</v>
      </c>
      <c r="F74" s="76">
        <v>60.9</v>
      </c>
      <c r="G74" s="76">
        <v>60.1</v>
      </c>
      <c r="H74" s="76">
        <v>63.7</v>
      </c>
      <c r="I74" s="76">
        <v>67</v>
      </c>
      <c r="J74" s="76">
        <v>65.400000000000006</v>
      </c>
      <c r="K74" s="76">
        <v>66.8</v>
      </c>
      <c r="L74" s="76">
        <v>53.4</v>
      </c>
      <c r="M74" s="76">
        <v>58.9</v>
      </c>
      <c r="N74" s="76">
        <v>61.3</v>
      </c>
      <c r="O74" s="76">
        <v>61.3</v>
      </c>
      <c r="P74" s="76">
        <v>61.3</v>
      </c>
      <c r="Q74" s="76">
        <v>60</v>
      </c>
      <c r="R74" s="76">
        <v>60</v>
      </c>
      <c r="S74" s="76">
        <v>60</v>
      </c>
      <c r="T74" s="76">
        <v>60</v>
      </c>
      <c r="U74" s="76">
        <v>60</v>
      </c>
      <c r="V74" s="76">
        <v>55</v>
      </c>
      <c r="W74" s="76">
        <v>55</v>
      </c>
      <c r="X74" s="76">
        <v>55</v>
      </c>
      <c r="Y74" s="76">
        <v>58.1</v>
      </c>
      <c r="Z74" s="76">
        <v>58.1</v>
      </c>
      <c r="AA74" s="76">
        <v>58.1</v>
      </c>
      <c r="AB74" s="65">
        <v>57.2</v>
      </c>
      <c r="AC74" s="65">
        <v>54.3</v>
      </c>
      <c r="AD74" s="65">
        <v>54.3</v>
      </c>
      <c r="AE74" s="65">
        <v>54.3</v>
      </c>
      <c r="AF74" s="65">
        <v>54.3</v>
      </c>
      <c r="AG74" s="75"/>
      <c r="AH74" s="47">
        <f t="shared" si="2"/>
        <v>67</v>
      </c>
      <c r="AI74" s="48">
        <f t="shared" si="3"/>
        <v>53.4</v>
      </c>
      <c r="AK74" s="49"/>
    </row>
    <row r="75" spans="1:40" x14ac:dyDescent="0.25">
      <c r="A75" s="53" t="s">
        <v>79</v>
      </c>
      <c r="B75" s="45">
        <v>89</v>
      </c>
      <c r="C75" s="45">
        <v>91.4</v>
      </c>
      <c r="D75" s="45">
        <v>77</v>
      </c>
      <c r="E75" s="45">
        <v>89</v>
      </c>
      <c r="F75" s="45">
        <v>80.7</v>
      </c>
      <c r="G75" s="45">
        <v>75.599999999999994</v>
      </c>
      <c r="H75" s="45">
        <v>73.5</v>
      </c>
      <c r="I75" s="45">
        <v>63.6</v>
      </c>
      <c r="J75" s="45">
        <v>55.2</v>
      </c>
      <c r="K75" s="45">
        <v>50.1</v>
      </c>
      <c r="L75" s="45">
        <v>42.5</v>
      </c>
      <c r="M75" s="45">
        <v>50.1</v>
      </c>
      <c r="N75" s="45">
        <v>77.2</v>
      </c>
      <c r="O75" s="45">
        <v>77.599999999999994</v>
      </c>
      <c r="P75" s="45">
        <v>63.6</v>
      </c>
      <c r="Q75" s="45">
        <v>73</v>
      </c>
      <c r="R75" s="45">
        <v>73</v>
      </c>
      <c r="S75" s="45">
        <v>78</v>
      </c>
      <c r="T75" s="45">
        <v>78</v>
      </c>
      <c r="U75" s="45">
        <v>78</v>
      </c>
      <c r="V75" s="45">
        <v>74</v>
      </c>
      <c r="W75" s="45">
        <v>78</v>
      </c>
      <c r="X75" s="45">
        <v>74</v>
      </c>
      <c r="Y75" s="45">
        <v>89</v>
      </c>
      <c r="Z75" s="45">
        <v>65.7</v>
      </c>
      <c r="AA75" s="45">
        <v>65.7</v>
      </c>
      <c r="AB75" s="45">
        <v>71.2</v>
      </c>
      <c r="AC75" s="45">
        <v>94</v>
      </c>
      <c r="AD75" s="45">
        <v>88.8</v>
      </c>
      <c r="AE75" s="45">
        <v>91</v>
      </c>
      <c r="AF75" s="45">
        <v>91</v>
      </c>
      <c r="AG75" s="75"/>
      <c r="AH75" s="47">
        <f t="shared" ref="AH75:AH117" si="9">MAX(B75:AF75)</f>
        <v>94</v>
      </c>
      <c r="AI75" s="48">
        <f t="shared" ref="AI75:AI117" si="10">MIN(B75:AF75)</f>
        <v>42.5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9"/>
        <v>5</v>
      </c>
      <c r="AI76" s="48">
        <f t="shared" si="10"/>
        <v>5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9"/>
        <v>0</v>
      </c>
      <c r="AI77" s="48">
        <f t="shared" si="1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9"/>
        <v>0</v>
      </c>
      <c r="AI78" s="48">
        <f t="shared" si="1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9"/>
        <v>0</v>
      </c>
      <c r="AI80" s="48">
        <f t="shared" si="1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9"/>
        <v>0</v>
      </c>
      <c r="AI81" s="48">
        <f t="shared" si="1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1">SUMIF(B71:B81,"&gt;0")</f>
        <v>521</v>
      </c>
      <c r="C82" s="60">
        <f t="shared" si="11"/>
        <v>550.4</v>
      </c>
      <c r="D82" s="60">
        <f t="shared" si="11"/>
        <v>503</v>
      </c>
      <c r="E82" s="60">
        <f t="shared" si="11"/>
        <v>507</v>
      </c>
      <c r="F82" s="60">
        <f t="shared" si="11"/>
        <v>488.4</v>
      </c>
      <c r="G82" s="60">
        <f t="shared" si="11"/>
        <v>534.70000000000005</v>
      </c>
      <c r="H82" s="60">
        <f t="shared" si="11"/>
        <v>541.20000000000005</v>
      </c>
      <c r="I82" s="60">
        <f t="shared" si="11"/>
        <v>551.30000000000007</v>
      </c>
      <c r="J82" s="60">
        <f t="shared" si="11"/>
        <v>536.70000000000005</v>
      </c>
      <c r="K82" s="60">
        <f t="shared" si="11"/>
        <v>538.9</v>
      </c>
      <c r="L82" s="60">
        <f t="shared" si="11"/>
        <v>511.5</v>
      </c>
      <c r="M82" s="60">
        <f t="shared" si="11"/>
        <v>507.3</v>
      </c>
      <c r="N82" s="60">
        <f t="shared" si="11"/>
        <v>536.30000000000007</v>
      </c>
      <c r="O82" s="60">
        <f t="shared" si="11"/>
        <v>560.9</v>
      </c>
      <c r="P82" s="60">
        <f t="shared" si="11"/>
        <v>572.9</v>
      </c>
      <c r="Q82" s="60">
        <f t="shared" si="11"/>
        <v>550</v>
      </c>
      <c r="R82" s="60">
        <f t="shared" si="11"/>
        <v>569</v>
      </c>
      <c r="S82" s="60">
        <f t="shared" si="11"/>
        <v>549.4</v>
      </c>
      <c r="T82" s="60">
        <f t="shared" si="11"/>
        <v>540.9</v>
      </c>
      <c r="U82" s="60">
        <f t="shared" si="11"/>
        <v>596.70000000000005</v>
      </c>
      <c r="V82" s="60">
        <f t="shared" si="11"/>
        <v>549.4</v>
      </c>
      <c r="W82" s="60">
        <f t="shared" si="11"/>
        <v>586.4</v>
      </c>
      <c r="X82" s="60">
        <f t="shared" si="11"/>
        <v>558</v>
      </c>
      <c r="Y82" s="60">
        <f t="shared" si="11"/>
        <v>527.1</v>
      </c>
      <c r="Z82" s="60">
        <f t="shared" si="11"/>
        <v>533.5</v>
      </c>
      <c r="AA82" s="60">
        <f t="shared" si="11"/>
        <v>537.5</v>
      </c>
      <c r="AB82" s="60">
        <f t="shared" si="11"/>
        <v>540</v>
      </c>
      <c r="AC82" s="60">
        <f t="shared" si="11"/>
        <v>546.1</v>
      </c>
      <c r="AD82" s="60">
        <f t="shared" si="11"/>
        <v>559.4</v>
      </c>
      <c r="AE82" s="60">
        <f t="shared" si="11"/>
        <v>559.9</v>
      </c>
      <c r="AF82" s="60">
        <f t="shared" si="11"/>
        <v>563.29999999999995</v>
      </c>
      <c r="AG82" s="88">
        <f>SUM(AG71:AG81)</f>
        <v>0</v>
      </c>
      <c r="AH82" s="47">
        <f t="shared" si="9"/>
        <v>596.70000000000005</v>
      </c>
      <c r="AI82" s="48">
        <f t="shared" si="10"/>
        <v>488.4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9"/>
        <v>0</v>
      </c>
      <c r="AI83" s="48">
        <f t="shared" si="1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9"/>
        <v>0</v>
      </c>
      <c r="AI84" s="48">
        <f t="shared" si="1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9"/>
        <v>0</v>
      </c>
      <c r="AI85" s="48">
        <f t="shared" si="1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9"/>
        <v>0</v>
      </c>
      <c r="AI86" s="48">
        <f t="shared" si="10"/>
        <v>0</v>
      </c>
    </row>
    <row r="87" spans="1:40" ht="15.75" thickBot="1" x14ac:dyDescent="0.3">
      <c r="A87" s="74" t="s">
        <v>94</v>
      </c>
      <c r="B87" s="95">
        <f t="shared" ref="B87:AG87" si="12">B48+B52+B70+B66+B82+B86</f>
        <v>1056.8399999999999</v>
      </c>
      <c r="C87" s="95">
        <f t="shared" si="12"/>
        <v>1056.24</v>
      </c>
      <c r="D87" s="95">
        <f t="shared" si="12"/>
        <v>1060.74</v>
      </c>
      <c r="E87" s="95">
        <f t="shared" si="12"/>
        <v>1047.3399999999999</v>
      </c>
      <c r="F87" s="95">
        <f t="shared" si="12"/>
        <v>1028.7399999999998</v>
      </c>
      <c r="G87" s="95">
        <f t="shared" si="12"/>
        <v>1075.24</v>
      </c>
      <c r="H87" s="95">
        <f t="shared" si="12"/>
        <v>1146.04</v>
      </c>
      <c r="I87" s="95">
        <f t="shared" si="12"/>
        <v>1183.54</v>
      </c>
      <c r="J87" s="95">
        <f t="shared" si="12"/>
        <v>1195.24</v>
      </c>
      <c r="K87" s="95">
        <f t="shared" si="12"/>
        <v>1249.04</v>
      </c>
      <c r="L87" s="95">
        <f t="shared" si="12"/>
        <v>1282.74</v>
      </c>
      <c r="M87" s="95">
        <f t="shared" si="12"/>
        <v>1268.94</v>
      </c>
      <c r="N87" s="95">
        <f t="shared" si="12"/>
        <v>1233.1399999999999</v>
      </c>
      <c r="O87" s="95">
        <f t="shared" si="12"/>
        <v>1230.54</v>
      </c>
      <c r="P87" s="95">
        <f t="shared" si="12"/>
        <v>1239.7399999999998</v>
      </c>
      <c r="Q87" s="95">
        <f t="shared" si="12"/>
        <v>1292.3399999999999</v>
      </c>
      <c r="R87" s="95">
        <f t="shared" si="12"/>
        <v>1293.3399999999999</v>
      </c>
      <c r="S87" s="95">
        <f t="shared" si="12"/>
        <v>1315.84</v>
      </c>
      <c r="T87" s="95">
        <f t="shared" si="12"/>
        <v>1256.8400000000001</v>
      </c>
      <c r="U87" s="95">
        <f t="shared" si="12"/>
        <v>1300.54</v>
      </c>
      <c r="V87" s="95">
        <f t="shared" si="12"/>
        <v>1111.1399999999999</v>
      </c>
      <c r="W87" s="95">
        <f t="shared" si="12"/>
        <v>1149.54</v>
      </c>
      <c r="X87" s="95">
        <f t="shared" si="12"/>
        <v>1197.94</v>
      </c>
      <c r="Y87" s="95">
        <f t="shared" si="12"/>
        <v>1317.8400000000001</v>
      </c>
      <c r="Z87" s="95">
        <f t="shared" si="12"/>
        <v>1388.54</v>
      </c>
      <c r="AA87" s="95">
        <f t="shared" si="12"/>
        <v>1324.84</v>
      </c>
      <c r="AB87" s="95">
        <f t="shared" si="12"/>
        <v>1288.54</v>
      </c>
      <c r="AC87" s="95">
        <f t="shared" si="12"/>
        <v>1203.04</v>
      </c>
      <c r="AD87" s="95">
        <f t="shared" si="12"/>
        <v>1184.2399999999998</v>
      </c>
      <c r="AE87" s="95">
        <f t="shared" si="12"/>
        <v>1126.94</v>
      </c>
      <c r="AF87" s="95">
        <f t="shared" si="12"/>
        <v>1067.1399999999999</v>
      </c>
      <c r="AG87" s="61">
        <f t="shared" si="12"/>
        <v>2065.09</v>
      </c>
      <c r="AH87" s="47">
        <f>MAX(B87:AF87)</f>
        <v>1388.54</v>
      </c>
      <c r="AI87" s="48">
        <f>MIN(B87:AF87)</f>
        <v>1028.7399999999998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>
        <v>150</v>
      </c>
      <c r="N88" s="97">
        <v>150</v>
      </c>
      <c r="O88" s="97">
        <v>150</v>
      </c>
      <c r="P88" s="97"/>
      <c r="Q88" s="97"/>
      <c r="R88" s="97"/>
      <c r="S88" s="97"/>
      <c r="T88" s="97"/>
      <c r="U88" s="97">
        <v>50</v>
      </c>
      <c r="V88" s="97">
        <v>200</v>
      </c>
      <c r="W88" s="97">
        <v>200</v>
      </c>
      <c r="X88" s="97">
        <v>200</v>
      </c>
      <c r="Y88" s="97">
        <v>180</v>
      </c>
      <c r="Z88" s="97">
        <v>180</v>
      </c>
      <c r="AA88" s="97">
        <v>180</v>
      </c>
      <c r="AB88" s="97">
        <v>180</v>
      </c>
      <c r="AC88" s="97"/>
      <c r="AD88" s="97"/>
      <c r="AE88" s="97"/>
      <c r="AF88" s="97"/>
      <c r="AG88" s="88"/>
      <c r="AH88" s="47">
        <f t="shared" si="9"/>
        <v>200</v>
      </c>
      <c r="AI88" s="48">
        <f t="shared" si="10"/>
        <v>50</v>
      </c>
    </row>
    <row r="89" spans="1:40" ht="15.75" thickBot="1" x14ac:dyDescent="0.3">
      <c r="A89" s="74" t="s">
        <v>96</v>
      </c>
      <c r="B89" s="95">
        <f t="shared" ref="B89:AF89" si="13">B87+B88</f>
        <v>1056.8399999999999</v>
      </c>
      <c r="C89" s="95">
        <f t="shared" si="13"/>
        <v>1056.24</v>
      </c>
      <c r="D89" s="95">
        <f t="shared" si="13"/>
        <v>1060.74</v>
      </c>
      <c r="E89" s="95">
        <f t="shared" si="13"/>
        <v>1047.3399999999999</v>
      </c>
      <c r="F89" s="95">
        <f t="shared" si="13"/>
        <v>1028.7399999999998</v>
      </c>
      <c r="G89" s="95">
        <f t="shared" si="13"/>
        <v>1075.24</v>
      </c>
      <c r="H89" s="95">
        <f t="shared" si="13"/>
        <v>1146.04</v>
      </c>
      <c r="I89" s="95">
        <f t="shared" si="13"/>
        <v>1183.54</v>
      </c>
      <c r="J89" s="95">
        <f t="shared" si="13"/>
        <v>1195.24</v>
      </c>
      <c r="K89" s="95">
        <f t="shared" si="13"/>
        <v>1249.04</v>
      </c>
      <c r="L89" s="95">
        <f t="shared" si="13"/>
        <v>1282.74</v>
      </c>
      <c r="M89" s="95">
        <f t="shared" si="13"/>
        <v>1418.94</v>
      </c>
      <c r="N89" s="95">
        <f t="shared" si="13"/>
        <v>1383.1399999999999</v>
      </c>
      <c r="O89" s="95">
        <f t="shared" si="13"/>
        <v>1380.54</v>
      </c>
      <c r="P89" s="95">
        <f t="shared" si="13"/>
        <v>1239.7399999999998</v>
      </c>
      <c r="Q89" s="95">
        <f t="shared" si="13"/>
        <v>1292.3399999999999</v>
      </c>
      <c r="R89" s="95">
        <f t="shared" si="13"/>
        <v>1293.3399999999999</v>
      </c>
      <c r="S89" s="95">
        <f t="shared" si="13"/>
        <v>1315.84</v>
      </c>
      <c r="T89" s="95">
        <f t="shared" si="13"/>
        <v>1256.8400000000001</v>
      </c>
      <c r="U89" s="95">
        <f t="shared" si="13"/>
        <v>1350.54</v>
      </c>
      <c r="V89" s="95">
        <f t="shared" si="13"/>
        <v>1311.1399999999999</v>
      </c>
      <c r="W89" s="95">
        <f t="shared" si="13"/>
        <v>1349.54</v>
      </c>
      <c r="X89" s="95">
        <f t="shared" si="13"/>
        <v>1397.94</v>
      </c>
      <c r="Y89" s="95">
        <f t="shared" si="13"/>
        <v>1497.8400000000001</v>
      </c>
      <c r="Z89" s="95">
        <f t="shared" si="13"/>
        <v>1568.54</v>
      </c>
      <c r="AA89" s="95">
        <f t="shared" si="13"/>
        <v>1504.84</v>
      </c>
      <c r="AB89" s="95">
        <f t="shared" si="13"/>
        <v>1468.54</v>
      </c>
      <c r="AC89" s="95">
        <f t="shared" si="13"/>
        <v>1203.04</v>
      </c>
      <c r="AD89" s="95">
        <f t="shared" si="13"/>
        <v>1184.2399999999998</v>
      </c>
      <c r="AE89" s="95">
        <f t="shared" si="13"/>
        <v>1126.94</v>
      </c>
      <c r="AF89" s="95">
        <f t="shared" si="13"/>
        <v>1067.1399999999999</v>
      </c>
      <c r="AG89" s="88">
        <f>AG86+AG82+AG70+AG66+AG48+AG88</f>
        <v>1526.99</v>
      </c>
      <c r="AH89" s="47">
        <f t="shared" si="9"/>
        <v>1568.54</v>
      </c>
      <c r="AI89" s="48">
        <f t="shared" si="10"/>
        <v>1028.7399999999998</v>
      </c>
    </row>
    <row r="90" spans="1:40" ht="15.75" thickBot="1" x14ac:dyDescent="0.3">
      <c r="A90" s="74" t="s">
        <v>97</v>
      </c>
      <c r="B90" s="95">
        <f t="shared" ref="B90:AF90" si="14">B89-B97</f>
        <v>1056.8399999999999</v>
      </c>
      <c r="C90" s="95">
        <f t="shared" si="14"/>
        <v>1056.24</v>
      </c>
      <c r="D90" s="95">
        <f t="shared" si="14"/>
        <v>1060.74</v>
      </c>
      <c r="E90" s="95">
        <f t="shared" si="14"/>
        <v>1047.3399999999999</v>
      </c>
      <c r="F90" s="95">
        <f t="shared" si="14"/>
        <v>1028.7399999999998</v>
      </c>
      <c r="G90" s="95">
        <f t="shared" si="14"/>
        <v>1075.24</v>
      </c>
      <c r="H90" s="95">
        <f t="shared" si="14"/>
        <v>1146.04</v>
      </c>
      <c r="I90" s="95">
        <f t="shared" si="14"/>
        <v>1183.54</v>
      </c>
      <c r="J90" s="95">
        <f t="shared" si="14"/>
        <v>1195.24</v>
      </c>
      <c r="K90" s="95">
        <f t="shared" si="14"/>
        <v>1249.04</v>
      </c>
      <c r="L90" s="95">
        <f t="shared" si="14"/>
        <v>1282.74</v>
      </c>
      <c r="M90" s="95">
        <f t="shared" si="14"/>
        <v>1418.94</v>
      </c>
      <c r="N90" s="95">
        <f t="shared" si="14"/>
        <v>1383.1399999999999</v>
      </c>
      <c r="O90" s="95">
        <f t="shared" si="14"/>
        <v>1380.54</v>
      </c>
      <c r="P90" s="95">
        <f t="shared" si="14"/>
        <v>1239.7399999999998</v>
      </c>
      <c r="Q90" s="95">
        <f t="shared" si="14"/>
        <v>1292.3399999999999</v>
      </c>
      <c r="R90" s="95">
        <f t="shared" si="14"/>
        <v>1293.3399999999999</v>
      </c>
      <c r="S90" s="95">
        <f t="shared" si="14"/>
        <v>1315.84</v>
      </c>
      <c r="T90" s="95">
        <f t="shared" si="14"/>
        <v>1256.8400000000001</v>
      </c>
      <c r="U90" s="95">
        <f t="shared" si="14"/>
        <v>1350.54</v>
      </c>
      <c r="V90" s="95">
        <f t="shared" si="14"/>
        <v>1311.1399999999999</v>
      </c>
      <c r="W90" s="95">
        <f t="shared" si="14"/>
        <v>1349.54</v>
      </c>
      <c r="X90" s="95">
        <f t="shared" si="14"/>
        <v>1397.94</v>
      </c>
      <c r="Y90" s="95">
        <f t="shared" si="14"/>
        <v>1497.8400000000001</v>
      </c>
      <c r="Z90" s="95">
        <f t="shared" si="14"/>
        <v>1568.54</v>
      </c>
      <c r="AA90" s="95">
        <f t="shared" si="14"/>
        <v>1504.84</v>
      </c>
      <c r="AB90" s="95">
        <f t="shared" si="14"/>
        <v>1468.54</v>
      </c>
      <c r="AC90" s="95">
        <f t="shared" si="14"/>
        <v>1203.04</v>
      </c>
      <c r="AD90" s="95">
        <f t="shared" si="14"/>
        <v>1184.2399999999998</v>
      </c>
      <c r="AE90" s="95">
        <f t="shared" si="14"/>
        <v>1126.94</v>
      </c>
      <c r="AF90" s="95">
        <f t="shared" si="14"/>
        <v>1067.1399999999999</v>
      </c>
      <c r="AG90" s="88"/>
      <c r="AH90" s="47">
        <f t="shared" si="9"/>
        <v>1568.54</v>
      </c>
      <c r="AI90" s="48">
        <f t="shared" si="10"/>
        <v>1028.7399999999998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9"/>
        <v>0</v>
      </c>
      <c r="AI91" s="48">
        <f t="shared" si="1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9"/>
        <v>0</v>
      </c>
      <c r="AI92" s="48">
        <f t="shared" si="1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9"/>
        <v>0</v>
      </c>
      <c r="AI93" s="48">
        <f t="shared" si="1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9"/>
        <v>0</v>
      </c>
      <c r="AI96" s="48">
        <f t="shared" si="1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9"/>
        <v>0</v>
      </c>
      <c r="AI97" s="48">
        <f t="shared" si="10"/>
        <v>0</v>
      </c>
      <c r="AK97" s="49"/>
    </row>
    <row r="98" spans="1:37" ht="15.75" thickBot="1" x14ac:dyDescent="0.3">
      <c r="A98" s="74" t="s">
        <v>102</v>
      </c>
      <c r="B98" s="60">
        <f t="shared" ref="B98:AF98" si="15">B82-B97</f>
        <v>521</v>
      </c>
      <c r="C98" s="60">
        <f t="shared" si="15"/>
        <v>550.4</v>
      </c>
      <c r="D98" s="60">
        <f t="shared" si="15"/>
        <v>503</v>
      </c>
      <c r="E98" s="60">
        <f t="shared" si="15"/>
        <v>507</v>
      </c>
      <c r="F98" s="60">
        <f t="shared" si="15"/>
        <v>488.4</v>
      </c>
      <c r="G98" s="60">
        <f t="shared" si="15"/>
        <v>534.70000000000005</v>
      </c>
      <c r="H98" s="60">
        <f t="shared" si="15"/>
        <v>541.20000000000005</v>
      </c>
      <c r="I98" s="60">
        <f t="shared" si="15"/>
        <v>551.30000000000007</v>
      </c>
      <c r="J98" s="60">
        <f t="shared" si="15"/>
        <v>536.70000000000005</v>
      </c>
      <c r="K98" s="60">
        <f t="shared" si="15"/>
        <v>538.9</v>
      </c>
      <c r="L98" s="60">
        <f t="shared" si="15"/>
        <v>511.5</v>
      </c>
      <c r="M98" s="60">
        <f t="shared" si="15"/>
        <v>507.3</v>
      </c>
      <c r="N98" s="60">
        <f t="shared" si="15"/>
        <v>536.30000000000007</v>
      </c>
      <c r="O98" s="60">
        <f t="shared" si="15"/>
        <v>560.9</v>
      </c>
      <c r="P98" s="60">
        <f t="shared" si="15"/>
        <v>572.9</v>
      </c>
      <c r="Q98" s="60">
        <f t="shared" si="15"/>
        <v>550</v>
      </c>
      <c r="R98" s="60">
        <f t="shared" si="15"/>
        <v>569</v>
      </c>
      <c r="S98" s="60">
        <f t="shared" si="15"/>
        <v>549.4</v>
      </c>
      <c r="T98" s="60">
        <f t="shared" si="15"/>
        <v>540.9</v>
      </c>
      <c r="U98" s="60">
        <f t="shared" si="15"/>
        <v>596.70000000000005</v>
      </c>
      <c r="V98" s="60">
        <f t="shared" si="15"/>
        <v>549.4</v>
      </c>
      <c r="W98" s="60">
        <f t="shared" si="15"/>
        <v>586.4</v>
      </c>
      <c r="X98" s="60">
        <f t="shared" si="15"/>
        <v>558</v>
      </c>
      <c r="Y98" s="60">
        <f t="shared" si="15"/>
        <v>527.1</v>
      </c>
      <c r="Z98" s="60">
        <f t="shared" si="15"/>
        <v>533.5</v>
      </c>
      <c r="AA98" s="60">
        <f t="shared" si="15"/>
        <v>537.5</v>
      </c>
      <c r="AB98" s="60">
        <f t="shared" si="15"/>
        <v>540</v>
      </c>
      <c r="AC98" s="60">
        <f t="shared" si="15"/>
        <v>546.1</v>
      </c>
      <c r="AD98" s="60">
        <f t="shared" si="15"/>
        <v>559.4</v>
      </c>
      <c r="AE98" s="60">
        <f t="shared" si="15"/>
        <v>559.9</v>
      </c>
      <c r="AF98" s="60">
        <f t="shared" si="15"/>
        <v>563.29999999999995</v>
      </c>
      <c r="AG98" s="88"/>
      <c r="AH98" s="47">
        <f t="shared" si="9"/>
        <v>596.70000000000005</v>
      </c>
      <c r="AI98" s="48">
        <f t="shared" si="10"/>
        <v>488.4</v>
      </c>
    </row>
    <row r="99" spans="1:37" x14ac:dyDescent="0.25">
      <c r="A99" s="100" t="s">
        <v>103</v>
      </c>
      <c r="B99" s="101">
        <v>49.965000000000003</v>
      </c>
      <c r="C99" s="101">
        <v>50.054000000000002</v>
      </c>
      <c r="D99" s="101">
        <v>50.015000000000001</v>
      </c>
      <c r="E99" s="101">
        <v>50.015000000000001</v>
      </c>
      <c r="F99" s="101">
        <v>50.052999999999997</v>
      </c>
      <c r="G99" s="101">
        <v>49.96</v>
      </c>
      <c r="H99" s="101">
        <v>50.07</v>
      </c>
      <c r="I99" s="101">
        <v>50.107999999999997</v>
      </c>
      <c r="J99" s="101">
        <v>50.088999999999999</v>
      </c>
      <c r="K99" s="101">
        <v>50.018000000000001</v>
      </c>
      <c r="L99" s="101">
        <v>49.991</v>
      </c>
      <c r="M99" s="101">
        <v>50.137</v>
      </c>
      <c r="N99" s="101">
        <v>49.936999999999998</v>
      </c>
      <c r="O99" s="101">
        <v>50.023000000000003</v>
      </c>
      <c r="P99" s="101">
        <v>50</v>
      </c>
      <c r="Q99" s="101">
        <v>49.942999999999998</v>
      </c>
      <c r="R99" s="101">
        <v>49.942999999999998</v>
      </c>
      <c r="S99" s="101">
        <v>50.11</v>
      </c>
      <c r="T99" s="101">
        <v>49.77</v>
      </c>
      <c r="U99" s="101">
        <v>49.8</v>
      </c>
      <c r="V99" s="101">
        <v>49.94</v>
      </c>
      <c r="W99" s="101">
        <v>50.098999999999997</v>
      </c>
      <c r="X99" s="101">
        <v>49.942999999999998</v>
      </c>
      <c r="Y99" s="101">
        <v>50.124000000000002</v>
      </c>
      <c r="Z99" s="101">
        <v>49.930999999999997</v>
      </c>
      <c r="AA99" s="101">
        <v>49.951999999999998</v>
      </c>
      <c r="AB99" s="101">
        <v>50.088999999999999</v>
      </c>
      <c r="AC99" s="101">
        <v>50.040999999999997</v>
      </c>
      <c r="AD99" s="101">
        <v>50.040999999999997</v>
      </c>
      <c r="AE99" s="101">
        <v>5.0579999999999998</v>
      </c>
      <c r="AF99" s="101">
        <v>49.98</v>
      </c>
      <c r="AG99" s="102"/>
      <c r="AH99" s="47">
        <f t="shared" si="9"/>
        <v>50.137</v>
      </c>
      <c r="AI99" s="48">
        <f t="shared" si="10"/>
        <v>5.0579999999999998</v>
      </c>
    </row>
    <row r="100" spans="1:37" x14ac:dyDescent="0.25">
      <c r="A100" s="103" t="s">
        <v>104</v>
      </c>
      <c r="B100" s="65">
        <v>128.9</v>
      </c>
      <c r="C100" s="65">
        <v>128.6</v>
      </c>
      <c r="D100" s="65">
        <v>128.80000000000001</v>
      </c>
      <c r="E100" s="65">
        <v>128.80000000000001</v>
      </c>
      <c r="F100" s="65">
        <v>129.30000000000001</v>
      </c>
      <c r="G100" s="65">
        <v>128.30000000000001</v>
      </c>
      <c r="H100" s="65">
        <v>128.5</v>
      </c>
      <c r="I100" s="65">
        <v>129</v>
      </c>
      <c r="J100" s="65">
        <v>127.5</v>
      </c>
      <c r="K100" s="65">
        <v>126.8</v>
      </c>
      <c r="L100" s="65">
        <v>126.2</v>
      </c>
      <c r="M100" s="65">
        <v>126.6</v>
      </c>
      <c r="N100" s="65">
        <v>126.3</v>
      </c>
      <c r="O100" s="65">
        <v>125.5</v>
      </c>
      <c r="P100" s="65">
        <v>125</v>
      </c>
      <c r="Q100" s="65">
        <v>125.3</v>
      </c>
      <c r="R100" s="65">
        <v>125.3</v>
      </c>
      <c r="S100" s="65">
        <v>126.1</v>
      </c>
      <c r="T100" s="65">
        <v>127</v>
      </c>
      <c r="U100" s="65">
        <v>126.5</v>
      </c>
      <c r="V100" s="65">
        <v>130.6</v>
      </c>
      <c r="W100" s="65">
        <v>130</v>
      </c>
      <c r="X100" s="65">
        <v>129.6</v>
      </c>
      <c r="Y100" s="65">
        <v>130.6</v>
      </c>
      <c r="Z100" s="65">
        <v>128.1</v>
      </c>
      <c r="AA100" s="65">
        <v>127.4</v>
      </c>
      <c r="AB100" s="65">
        <v>128.6</v>
      </c>
      <c r="AC100" s="65">
        <v>129.1</v>
      </c>
      <c r="AD100" s="65">
        <v>129.1</v>
      </c>
      <c r="AE100" s="65">
        <v>127.8</v>
      </c>
      <c r="AF100" s="65">
        <v>127.8</v>
      </c>
      <c r="AG100" s="104"/>
      <c r="AH100" s="47">
        <f t="shared" si="9"/>
        <v>130.6</v>
      </c>
      <c r="AI100" s="48">
        <f t="shared" si="10"/>
        <v>125</v>
      </c>
    </row>
    <row r="101" spans="1:37" x14ac:dyDescent="0.25">
      <c r="A101" s="103" t="s">
        <v>105</v>
      </c>
      <c r="B101" s="65">
        <v>132</v>
      </c>
      <c r="C101" s="65">
        <v>131.4</v>
      </c>
      <c r="D101" s="65">
        <v>131.9</v>
      </c>
      <c r="E101" s="65">
        <v>131.9</v>
      </c>
      <c r="F101" s="65">
        <v>132.6</v>
      </c>
      <c r="G101" s="65">
        <v>131.4</v>
      </c>
      <c r="H101" s="65">
        <v>131.19999999999999</v>
      </c>
      <c r="I101" s="65">
        <v>131.4</v>
      </c>
      <c r="J101" s="65">
        <v>129.69999999999999</v>
      </c>
      <c r="K101" s="65">
        <v>128.69999999999999</v>
      </c>
      <c r="L101" s="65">
        <v>128</v>
      </c>
      <c r="M101" s="65">
        <v>127.6</v>
      </c>
      <c r="N101" s="65">
        <v>127.9</v>
      </c>
      <c r="O101" s="65">
        <v>127.6</v>
      </c>
      <c r="P101" s="65">
        <v>127.7</v>
      </c>
      <c r="Q101" s="65">
        <v>128.1</v>
      </c>
      <c r="R101" s="65">
        <v>128.1</v>
      </c>
      <c r="S101" s="65">
        <v>128.69999999999999</v>
      </c>
      <c r="T101" s="65">
        <v>129.6</v>
      </c>
      <c r="U101" s="65">
        <v>128.6</v>
      </c>
      <c r="V101" s="65">
        <v>132.5</v>
      </c>
      <c r="W101" s="65">
        <v>132</v>
      </c>
      <c r="X101" s="65">
        <v>131.4</v>
      </c>
      <c r="Y101" s="65">
        <v>132.19999999999999</v>
      </c>
      <c r="Z101" s="65">
        <v>130.30000000000001</v>
      </c>
      <c r="AA101" s="65">
        <v>129.80000000000001</v>
      </c>
      <c r="AB101" s="65">
        <v>131.1</v>
      </c>
      <c r="AC101" s="65">
        <v>131.9</v>
      </c>
      <c r="AD101" s="65">
        <v>131.9</v>
      </c>
      <c r="AE101" s="65">
        <v>130.80000000000001</v>
      </c>
      <c r="AF101" s="65">
        <v>130.80000000000001</v>
      </c>
      <c r="AG101" s="104"/>
      <c r="AH101" s="47">
        <f t="shared" si="9"/>
        <v>132.6</v>
      </c>
      <c r="AI101" s="48">
        <f t="shared" si="10"/>
        <v>127.6</v>
      </c>
    </row>
    <row r="102" spans="1:37" x14ac:dyDescent="0.25">
      <c r="A102" s="103" t="s">
        <v>106</v>
      </c>
      <c r="B102" s="65">
        <v>128.5</v>
      </c>
      <c r="C102" s="65">
        <v>127.5</v>
      </c>
      <c r="D102" s="65">
        <v>127.7</v>
      </c>
      <c r="E102" s="65">
        <v>127.7</v>
      </c>
      <c r="F102" s="65">
        <v>130.30000000000001</v>
      </c>
      <c r="G102" s="65">
        <v>128.1</v>
      </c>
      <c r="H102" s="65">
        <v>128.19999999999999</v>
      </c>
      <c r="I102" s="65">
        <v>130.80000000000001</v>
      </c>
      <c r="J102" s="65">
        <v>127.2</v>
      </c>
      <c r="K102" s="65">
        <v>124.7</v>
      </c>
      <c r="L102" s="65">
        <v>124.1</v>
      </c>
      <c r="M102" s="65">
        <v>126.6</v>
      </c>
      <c r="N102" s="65">
        <v>125</v>
      </c>
      <c r="O102" s="65">
        <v>127.5</v>
      </c>
      <c r="P102" s="65">
        <v>123.9</v>
      </c>
      <c r="Q102" s="65">
        <v>127.5</v>
      </c>
      <c r="R102" s="65">
        <v>127.5</v>
      </c>
      <c r="S102" s="65">
        <v>125.9</v>
      </c>
      <c r="T102" s="65">
        <v>126.8</v>
      </c>
      <c r="U102" s="65">
        <v>131.19999999999999</v>
      </c>
      <c r="V102" s="65">
        <v>129.30000000000001</v>
      </c>
      <c r="W102" s="65">
        <v>130.30000000000001</v>
      </c>
      <c r="X102" s="65">
        <v>130</v>
      </c>
      <c r="Y102" s="65">
        <v>127.3</v>
      </c>
      <c r="Z102" s="65">
        <v>128.9</v>
      </c>
      <c r="AA102" s="65">
        <v>129.6</v>
      </c>
      <c r="AB102" s="65">
        <v>131</v>
      </c>
      <c r="AC102" s="65">
        <v>131.5</v>
      </c>
      <c r="AD102" s="65">
        <v>131.5</v>
      </c>
      <c r="AE102" s="65">
        <v>131</v>
      </c>
      <c r="AF102" s="65">
        <v>131</v>
      </c>
      <c r="AG102" s="104"/>
      <c r="AH102" s="47">
        <f t="shared" si="9"/>
        <v>131.5</v>
      </c>
      <c r="AI102" s="48">
        <f t="shared" si="10"/>
        <v>123.9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9"/>
        <v>0</v>
      </c>
      <c r="AI103" s="48">
        <f t="shared" si="10"/>
        <v>0</v>
      </c>
    </row>
    <row r="104" spans="1:37" x14ac:dyDescent="0.25">
      <c r="A104" s="105" t="s">
        <v>108</v>
      </c>
      <c r="B104" s="106">
        <v>131.4</v>
      </c>
      <c r="C104" s="106">
        <v>130.1</v>
      </c>
      <c r="D104" s="106">
        <v>131.4</v>
      </c>
      <c r="E104" s="106">
        <v>131.4</v>
      </c>
      <c r="F104" s="106">
        <v>131.4</v>
      </c>
      <c r="G104" s="106">
        <v>131.19999999999999</v>
      </c>
      <c r="H104" s="106">
        <v>133.6</v>
      </c>
      <c r="I104" s="106">
        <v>137.4</v>
      </c>
      <c r="J104" s="106">
        <v>134.69999999999999</v>
      </c>
      <c r="K104" s="106">
        <v>133.6</v>
      </c>
      <c r="L104" s="106">
        <v>134</v>
      </c>
      <c r="M104" s="106">
        <v>133.80000000000001</v>
      </c>
      <c r="N104" s="106">
        <v>132.30000000000001</v>
      </c>
      <c r="O104" s="106">
        <v>132.9</v>
      </c>
      <c r="P104" s="106">
        <v>132.5</v>
      </c>
      <c r="Q104" s="106">
        <v>133.80000000000001</v>
      </c>
      <c r="R104" s="106">
        <v>133.80000000000001</v>
      </c>
      <c r="S104" s="106">
        <v>134</v>
      </c>
      <c r="T104" s="106">
        <v>134</v>
      </c>
      <c r="U104" s="106">
        <v>131.19999999999999</v>
      </c>
      <c r="V104" s="106">
        <v>134.5</v>
      </c>
      <c r="W104" s="106">
        <v>132.4</v>
      </c>
      <c r="X104" s="106">
        <v>131</v>
      </c>
      <c r="Y104" s="106">
        <v>135.19999999999999</v>
      </c>
      <c r="Z104" s="106">
        <v>134.4</v>
      </c>
      <c r="AA104" s="106">
        <v>135.5</v>
      </c>
      <c r="AB104" s="106">
        <v>136.1</v>
      </c>
      <c r="AC104" s="106">
        <v>134.5</v>
      </c>
      <c r="AD104" s="106">
        <v>134.5</v>
      </c>
      <c r="AE104" s="106">
        <v>133.80000000000001</v>
      </c>
      <c r="AF104" s="106">
        <v>133.80000000000001</v>
      </c>
      <c r="AG104" s="107"/>
      <c r="AH104" s="47">
        <f t="shared" si="9"/>
        <v>137.4</v>
      </c>
      <c r="AI104" s="48">
        <f t="shared" si="10"/>
        <v>130.1</v>
      </c>
    </row>
    <row r="105" spans="1:37" x14ac:dyDescent="0.25">
      <c r="A105" s="103" t="s">
        <v>109</v>
      </c>
      <c r="B105" s="65">
        <v>134.4</v>
      </c>
      <c r="C105" s="65">
        <v>136</v>
      </c>
      <c r="D105" s="65">
        <v>135.9</v>
      </c>
      <c r="E105" s="65">
        <v>135.9</v>
      </c>
      <c r="F105" s="65">
        <v>139.69999999999999</v>
      </c>
      <c r="G105" s="65">
        <v>126.6</v>
      </c>
      <c r="H105" s="65">
        <v>132.1</v>
      </c>
      <c r="I105" s="65">
        <v>134.6</v>
      </c>
      <c r="J105" s="65">
        <v>128.19999999999999</v>
      </c>
      <c r="K105" s="65">
        <v>129.9</v>
      </c>
      <c r="L105" s="65">
        <v>136.1</v>
      </c>
      <c r="M105" s="65">
        <v>132.80000000000001</v>
      </c>
      <c r="N105" s="65">
        <v>127</v>
      </c>
      <c r="O105" s="65">
        <v>129</v>
      </c>
      <c r="P105" s="65">
        <v>125.6</v>
      </c>
      <c r="Q105" s="65">
        <v>133.69999999999999</v>
      </c>
      <c r="R105" s="65">
        <v>133.69999999999999</v>
      </c>
      <c r="S105" s="65">
        <v>132.9</v>
      </c>
      <c r="T105" s="65">
        <v>134.4</v>
      </c>
      <c r="U105" s="65">
        <v>128.6</v>
      </c>
      <c r="V105" s="65">
        <v>130.6</v>
      </c>
      <c r="W105" s="65">
        <v>129.1</v>
      </c>
      <c r="X105" s="65">
        <v>131.19999999999999</v>
      </c>
      <c r="Y105" s="65">
        <v>128.9</v>
      </c>
      <c r="Z105" s="65">
        <v>134.80000000000001</v>
      </c>
      <c r="AA105" s="65">
        <v>136.69999999999999</v>
      </c>
      <c r="AB105" s="65">
        <v>134.1</v>
      </c>
      <c r="AC105" s="65">
        <v>133.19999999999999</v>
      </c>
      <c r="AD105" s="65">
        <v>133.19999999999999</v>
      </c>
      <c r="AE105" s="65">
        <v>131.9</v>
      </c>
      <c r="AF105" s="65">
        <v>131.9</v>
      </c>
      <c r="AG105" s="104"/>
      <c r="AH105" s="47">
        <f t="shared" si="9"/>
        <v>139.69999999999999</v>
      </c>
      <c r="AI105" s="48">
        <f t="shared" si="10"/>
        <v>125.6</v>
      </c>
    </row>
    <row r="106" spans="1:37" ht="15.75" thickBot="1" x14ac:dyDescent="0.3">
      <c r="A106" s="103" t="s">
        <v>110</v>
      </c>
      <c r="B106" s="92">
        <v>66.099999999999994</v>
      </c>
      <c r="C106" s="92">
        <v>66</v>
      </c>
      <c r="D106" s="92">
        <v>66.3</v>
      </c>
      <c r="E106" s="92">
        <v>66.3</v>
      </c>
      <c r="F106" s="92">
        <v>66.8</v>
      </c>
      <c r="G106" s="92">
        <v>66</v>
      </c>
      <c r="H106" s="92">
        <v>65.8</v>
      </c>
      <c r="I106" s="92">
        <v>66</v>
      </c>
      <c r="J106" s="92">
        <v>65.099999999999994</v>
      </c>
      <c r="K106" s="92">
        <v>64.7</v>
      </c>
      <c r="L106" s="92">
        <v>64.099999999999994</v>
      </c>
      <c r="M106" s="92">
        <v>64.400000000000006</v>
      </c>
      <c r="N106" s="92">
        <v>64.3</v>
      </c>
      <c r="O106" s="92">
        <v>64</v>
      </c>
      <c r="P106" s="92">
        <v>64.099999999999994</v>
      </c>
      <c r="Q106" s="92">
        <v>64.400000000000006</v>
      </c>
      <c r="R106" s="92">
        <v>64.400000000000006</v>
      </c>
      <c r="S106" s="92">
        <v>64.900000000000006</v>
      </c>
      <c r="T106" s="92">
        <v>65.3</v>
      </c>
      <c r="U106" s="92">
        <v>65</v>
      </c>
      <c r="V106" s="92">
        <v>66.3</v>
      </c>
      <c r="W106" s="92">
        <v>66.099999999999994</v>
      </c>
      <c r="X106" s="92">
        <v>66</v>
      </c>
      <c r="Y106" s="92">
        <v>65.900000000000006</v>
      </c>
      <c r="Z106" s="92">
        <v>65.3</v>
      </c>
      <c r="AA106" s="92">
        <v>65</v>
      </c>
      <c r="AB106" s="92">
        <v>66</v>
      </c>
      <c r="AC106" s="92">
        <v>66.2</v>
      </c>
      <c r="AD106" s="92">
        <v>66.2</v>
      </c>
      <c r="AE106" s="92">
        <v>65.8</v>
      </c>
      <c r="AF106" s="92">
        <v>65.8</v>
      </c>
      <c r="AG106" s="108"/>
      <c r="AH106" s="47">
        <f t="shared" si="9"/>
        <v>66.8</v>
      </c>
      <c r="AI106" s="48">
        <f t="shared" si="10"/>
        <v>64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9"/>
        <v>0</v>
      </c>
      <c r="AI107" s="48">
        <f t="shared" si="10"/>
        <v>0</v>
      </c>
    </row>
    <row r="108" spans="1:37" ht="15.75" thickBot="1" x14ac:dyDescent="0.3">
      <c r="A108" s="110" t="s">
        <v>112</v>
      </c>
      <c r="B108" s="111">
        <f t="shared" ref="B108:AF108" si="16">SUM(B18,B24,B27:B28,B56,B58:B59,B61,B63,B109:B113,B135,B141,B147,B156,B158,B170,B177,B180:B181,B188,B190,B192,B196:B198,B200:B202,B207,B213:B214,B216:B218,B226,B231)</f>
        <v>126.99999999999999</v>
      </c>
      <c r="C108" s="111">
        <f t="shared" si="16"/>
        <v>116.33999999999999</v>
      </c>
      <c r="D108" s="111">
        <f t="shared" si="16"/>
        <v>111.94</v>
      </c>
      <c r="E108" s="111">
        <f t="shared" si="16"/>
        <v>111.94</v>
      </c>
      <c r="F108" s="111">
        <f t="shared" si="16"/>
        <v>111.94</v>
      </c>
      <c r="G108" s="111">
        <f t="shared" si="16"/>
        <v>147.04</v>
      </c>
      <c r="H108" s="111">
        <f t="shared" si="16"/>
        <v>181.44</v>
      </c>
      <c r="I108" s="111">
        <f t="shared" si="16"/>
        <v>210.64</v>
      </c>
      <c r="J108" s="111">
        <f t="shared" si="16"/>
        <v>245.24</v>
      </c>
      <c r="K108" s="111">
        <f t="shared" si="16"/>
        <v>287.33999999999997</v>
      </c>
      <c r="L108" s="111">
        <f t="shared" si="16"/>
        <v>318.44</v>
      </c>
      <c r="M108" s="111">
        <f t="shared" si="16"/>
        <v>300.74</v>
      </c>
      <c r="N108" s="111">
        <f t="shared" si="16"/>
        <v>283.83999999999997</v>
      </c>
      <c r="O108" s="111">
        <f t="shared" si="16"/>
        <v>277.14</v>
      </c>
      <c r="P108" s="111">
        <v>42</v>
      </c>
      <c r="Q108" s="111">
        <f t="shared" si="16"/>
        <v>254.89999999999998</v>
      </c>
      <c r="R108" s="111">
        <f t="shared" si="16"/>
        <v>254.89999999999998</v>
      </c>
      <c r="S108" s="111">
        <f t="shared" si="16"/>
        <v>217.3</v>
      </c>
      <c r="T108" s="111">
        <f t="shared" si="16"/>
        <v>207.7</v>
      </c>
      <c r="U108" s="111">
        <f t="shared" si="16"/>
        <v>220.89999999999998</v>
      </c>
      <c r="V108" s="111">
        <f t="shared" si="16"/>
        <v>272.5</v>
      </c>
      <c r="W108" s="111">
        <f t="shared" si="16"/>
        <v>283.59999999999997</v>
      </c>
      <c r="X108" s="111">
        <f t="shared" si="16"/>
        <v>297.10000000000002</v>
      </c>
      <c r="Y108" s="111">
        <f t="shared" si="16"/>
        <v>308.5</v>
      </c>
      <c r="Z108" s="111">
        <f t="shared" si="16"/>
        <v>321.5</v>
      </c>
      <c r="AA108" s="111">
        <f t="shared" si="16"/>
        <v>304.10000000000002</v>
      </c>
      <c r="AB108" s="111">
        <f t="shared" si="16"/>
        <v>301.7</v>
      </c>
      <c r="AC108" s="111">
        <f t="shared" si="16"/>
        <v>253.2</v>
      </c>
      <c r="AD108" s="111">
        <f t="shared" si="16"/>
        <v>223.39999999999998</v>
      </c>
      <c r="AE108" s="111">
        <f t="shared" si="16"/>
        <v>182.29999999999998</v>
      </c>
      <c r="AF108" s="111">
        <f t="shared" si="16"/>
        <v>171.6</v>
      </c>
      <c r="AG108" s="112"/>
      <c r="AH108" s="47">
        <f t="shared" si="9"/>
        <v>321.5</v>
      </c>
      <c r="AI108" s="48">
        <f t="shared" si="10"/>
        <v>42</v>
      </c>
    </row>
    <row r="109" spans="1:37" x14ac:dyDescent="0.25">
      <c r="A109" s="100" t="s">
        <v>113</v>
      </c>
      <c r="B109" s="113">
        <v>-14.2</v>
      </c>
      <c r="C109" s="113">
        <v>-18</v>
      </c>
      <c r="D109" s="113">
        <v>-21.9</v>
      </c>
      <c r="E109" s="113">
        <v>-21.9</v>
      </c>
      <c r="F109" s="113">
        <v>-21.9</v>
      </c>
      <c r="G109" s="113">
        <v>-18.399999999999999</v>
      </c>
      <c r="H109" s="113">
        <v>-12</v>
      </c>
      <c r="I109" s="113">
        <v>-4</v>
      </c>
      <c r="J109" s="113">
        <v>7.3</v>
      </c>
      <c r="K109" s="113">
        <v>11.7</v>
      </c>
      <c r="L109" s="113">
        <v>14.1</v>
      </c>
      <c r="M109" s="113">
        <v>11.4</v>
      </c>
      <c r="N109" s="113">
        <v>5.4</v>
      </c>
      <c r="O109" s="113">
        <v>5.6</v>
      </c>
      <c r="P109" s="113">
        <v>-1.8</v>
      </c>
      <c r="Q109" s="113">
        <v>0</v>
      </c>
      <c r="R109" s="113">
        <v>0</v>
      </c>
      <c r="S109" s="113">
        <v>-0.9</v>
      </c>
      <c r="T109" s="113">
        <v>-4.7</v>
      </c>
      <c r="U109" s="113">
        <v>-18.3</v>
      </c>
      <c r="V109" s="113">
        <v>-5</v>
      </c>
      <c r="W109" s="113">
        <v>-8</v>
      </c>
      <c r="X109" s="113">
        <v>-7.2</v>
      </c>
      <c r="Y109" s="113">
        <v>15.1</v>
      </c>
      <c r="Z109" s="113">
        <v>19</v>
      </c>
      <c r="AA109" s="113">
        <v>21</v>
      </c>
      <c r="AB109" s="113">
        <v>15.6</v>
      </c>
      <c r="AC109" s="113">
        <v>10.8</v>
      </c>
      <c r="AD109" s="113">
        <v>-4.0999999999999996</v>
      </c>
      <c r="AE109" s="113">
        <v>-16.100000000000001</v>
      </c>
      <c r="AF109" s="113">
        <v>-16.100000000000001</v>
      </c>
      <c r="AG109" s="114">
        <v>75</v>
      </c>
      <c r="AH109" s="47">
        <f t="shared" si="9"/>
        <v>21</v>
      </c>
      <c r="AI109" s="48">
        <f t="shared" si="10"/>
        <v>-21.9</v>
      </c>
    </row>
    <row r="110" spans="1:37" x14ac:dyDescent="0.25">
      <c r="A110" s="103" t="s">
        <v>114</v>
      </c>
      <c r="B110" s="115">
        <v>-22</v>
      </c>
      <c r="C110" s="115">
        <v>-27</v>
      </c>
      <c r="D110" s="115">
        <v>-35</v>
      </c>
      <c r="E110" s="115">
        <v>-35</v>
      </c>
      <c r="F110" s="115">
        <v>-35</v>
      </c>
      <c r="G110" s="115">
        <v>-29.3</v>
      </c>
      <c r="H110" s="115">
        <v>-20.7</v>
      </c>
      <c r="I110" s="115">
        <v>-12.6</v>
      </c>
      <c r="J110" s="115">
        <v>2.9</v>
      </c>
      <c r="K110" s="115">
        <v>8.1</v>
      </c>
      <c r="L110" s="115">
        <v>11</v>
      </c>
      <c r="M110" s="115">
        <v>6.5</v>
      </c>
      <c r="N110" s="115">
        <v>2.1</v>
      </c>
      <c r="O110" s="115">
        <v>2.2999999999999998</v>
      </c>
      <c r="P110" s="115">
        <v>-4.0999999999999996</v>
      </c>
      <c r="Q110" s="115">
        <v>0</v>
      </c>
      <c r="R110" s="115">
        <v>0</v>
      </c>
      <c r="S110" s="115">
        <v>0</v>
      </c>
      <c r="T110" s="115">
        <v>-5.5</v>
      </c>
      <c r="U110" s="115">
        <v>-26.2</v>
      </c>
      <c r="V110" s="115">
        <v>-12.7</v>
      </c>
      <c r="W110" s="115">
        <v>-17.399999999999999</v>
      </c>
      <c r="X110" s="115">
        <v>-17.399999999999999</v>
      </c>
      <c r="Y110" s="115">
        <v>13.7</v>
      </c>
      <c r="Z110" s="115">
        <v>17</v>
      </c>
      <c r="AA110" s="115">
        <v>22</v>
      </c>
      <c r="AB110" s="115">
        <v>14.7</v>
      </c>
      <c r="AC110" s="115">
        <v>8.6</v>
      </c>
      <c r="AD110" s="115">
        <v>-9.8000000000000007</v>
      </c>
      <c r="AE110" s="115">
        <v>-23.5</v>
      </c>
      <c r="AF110" s="115">
        <v>-23.5</v>
      </c>
      <c r="AG110" s="114">
        <v>240</v>
      </c>
      <c r="AH110" s="47">
        <f t="shared" si="9"/>
        <v>22</v>
      </c>
      <c r="AI110" s="48">
        <f t="shared" si="10"/>
        <v>-35</v>
      </c>
    </row>
    <row r="111" spans="1:37" x14ac:dyDescent="0.25">
      <c r="A111" s="103" t="s">
        <v>115</v>
      </c>
      <c r="B111" s="115">
        <v>-6</v>
      </c>
      <c r="C111" s="115">
        <v>-8</v>
      </c>
      <c r="D111" s="115">
        <v>-7</v>
      </c>
      <c r="E111" s="115">
        <v>-7</v>
      </c>
      <c r="F111" s="115">
        <v>-7</v>
      </c>
      <c r="G111" s="115">
        <v>4</v>
      </c>
      <c r="H111" s="115">
        <v>10</v>
      </c>
      <c r="I111" s="115">
        <v>12</v>
      </c>
      <c r="J111" s="115">
        <v>17.600000000000001</v>
      </c>
      <c r="K111" s="115">
        <v>33.9</v>
      </c>
      <c r="L111" s="115">
        <v>52</v>
      </c>
      <c r="M111" s="115">
        <v>40.9</v>
      </c>
      <c r="N111" s="115">
        <v>50</v>
      </c>
      <c r="O111" s="115">
        <f>22+23</f>
        <v>45</v>
      </c>
      <c r="P111" s="115">
        <f>20+19</f>
        <v>39</v>
      </c>
      <c r="Q111" s="115">
        <f>18+15</f>
        <v>33</v>
      </c>
      <c r="R111" s="115">
        <f>18+15</f>
        <v>33</v>
      </c>
      <c r="S111" s="115">
        <f>-9.5+12.4</f>
        <v>2.9000000000000004</v>
      </c>
      <c r="T111" s="115">
        <f>-14.1+12.2</f>
        <v>-1.9000000000000004</v>
      </c>
      <c r="U111" s="115">
        <f>-6.3+25.4</f>
        <v>19.099999999999998</v>
      </c>
      <c r="V111" s="115">
        <v>58</v>
      </c>
      <c r="W111" s="115">
        <v>68</v>
      </c>
      <c r="X111" s="115">
        <v>78</v>
      </c>
      <c r="Y111" s="115">
        <v>48</v>
      </c>
      <c r="Z111" s="115">
        <v>58</v>
      </c>
      <c r="AA111" s="115">
        <v>51</v>
      </c>
      <c r="AB111" s="115">
        <v>50.8</v>
      </c>
      <c r="AC111" s="115">
        <v>42.8</v>
      </c>
      <c r="AD111" s="115">
        <v>24.2</v>
      </c>
      <c r="AE111" s="115">
        <v>12.5</v>
      </c>
      <c r="AF111" s="115">
        <v>12.5</v>
      </c>
      <c r="AG111" s="114">
        <v>240</v>
      </c>
      <c r="AH111" s="47">
        <f t="shared" si="9"/>
        <v>78</v>
      </c>
      <c r="AI111" s="48">
        <f t="shared" si="10"/>
        <v>-8</v>
      </c>
    </row>
    <row r="112" spans="1:37" x14ac:dyDescent="0.25">
      <c r="A112" s="103" t="s">
        <v>116</v>
      </c>
      <c r="B112" s="115">
        <v>-5.2</v>
      </c>
      <c r="C112" s="115">
        <v>-6</v>
      </c>
      <c r="D112" s="115">
        <v>-4.7</v>
      </c>
      <c r="E112" s="115">
        <v>-4.7</v>
      </c>
      <c r="F112" s="115">
        <v>-4.7</v>
      </c>
      <c r="G112" s="115">
        <v>0.9</v>
      </c>
      <c r="H112" s="115">
        <v>9</v>
      </c>
      <c r="I112" s="115">
        <v>20.399999999999999</v>
      </c>
      <c r="J112" s="115">
        <v>22</v>
      </c>
      <c r="K112" s="115">
        <v>27.3</v>
      </c>
      <c r="L112" s="115">
        <v>35</v>
      </c>
      <c r="M112" s="115">
        <v>37.299999999999997</v>
      </c>
      <c r="N112" s="115">
        <v>30</v>
      </c>
      <c r="O112" s="115">
        <v>21.3</v>
      </c>
      <c r="P112" s="115">
        <v>14</v>
      </c>
      <c r="Q112" s="115">
        <v>20</v>
      </c>
      <c r="R112" s="115">
        <v>20</v>
      </c>
      <c r="S112" s="115">
        <v>26.2</v>
      </c>
      <c r="T112" s="115">
        <v>33.1</v>
      </c>
      <c r="U112" s="115">
        <v>40</v>
      </c>
      <c r="V112" s="115">
        <v>45</v>
      </c>
      <c r="W112" s="115">
        <v>47</v>
      </c>
      <c r="X112" s="115">
        <v>51</v>
      </c>
      <c r="Y112" s="115">
        <v>43.2</v>
      </c>
      <c r="Z112" s="115">
        <v>34</v>
      </c>
      <c r="AA112" s="115">
        <v>13.4</v>
      </c>
      <c r="AB112" s="115">
        <v>10.7</v>
      </c>
      <c r="AC112" s="115">
        <v>9.3000000000000007</v>
      </c>
      <c r="AD112" s="115">
        <v>5.0999999999999996</v>
      </c>
      <c r="AE112" s="115">
        <v>0.9</v>
      </c>
      <c r="AF112" s="115">
        <v>0.9</v>
      </c>
      <c r="AG112" s="114">
        <v>60</v>
      </c>
      <c r="AH112" s="47">
        <f t="shared" si="9"/>
        <v>51</v>
      </c>
      <c r="AI112" s="48">
        <f t="shared" si="10"/>
        <v>-6</v>
      </c>
    </row>
    <row r="113" spans="1:37" x14ac:dyDescent="0.25">
      <c r="A113" s="116" t="s">
        <v>117</v>
      </c>
      <c r="B113" s="117">
        <v>84</v>
      </c>
      <c r="C113" s="117">
        <v>84</v>
      </c>
      <c r="D113" s="117">
        <v>89.2</v>
      </c>
      <c r="E113" s="117">
        <v>89.2</v>
      </c>
      <c r="F113" s="117">
        <v>89.2</v>
      </c>
      <c r="G113" s="117">
        <v>98.5</v>
      </c>
      <c r="H113" s="117">
        <v>103.8</v>
      </c>
      <c r="I113" s="117">
        <v>103.5</v>
      </c>
      <c r="J113" s="117">
        <v>104.3</v>
      </c>
      <c r="K113" s="117">
        <v>115</v>
      </c>
      <c r="L113" s="117">
        <v>115</v>
      </c>
      <c r="M113" s="117">
        <v>113.3</v>
      </c>
      <c r="N113" s="117">
        <v>105</v>
      </c>
      <c r="O113" s="117">
        <v>111.6</v>
      </c>
      <c r="P113" s="117">
        <v>116</v>
      </c>
      <c r="Q113" s="117">
        <v>114</v>
      </c>
      <c r="R113" s="117">
        <v>114</v>
      </c>
      <c r="S113" s="117">
        <v>101.2</v>
      </c>
      <c r="T113" s="117">
        <v>98.8</v>
      </c>
      <c r="U113" s="117">
        <v>117.6</v>
      </c>
      <c r="V113" s="117">
        <v>98.5</v>
      </c>
      <c r="W113" s="117">
        <v>105.3</v>
      </c>
      <c r="X113" s="117">
        <v>104</v>
      </c>
      <c r="Y113" s="117">
        <v>97</v>
      </c>
      <c r="Z113" s="117">
        <v>102</v>
      </c>
      <c r="AA113" s="117">
        <v>106</v>
      </c>
      <c r="AB113" s="117">
        <v>110.5</v>
      </c>
      <c r="AC113" s="117">
        <v>82.3</v>
      </c>
      <c r="AD113" s="117">
        <v>108.6</v>
      </c>
      <c r="AE113" s="117">
        <v>109.1</v>
      </c>
      <c r="AF113" s="117">
        <v>109.1</v>
      </c>
      <c r="AG113" s="118">
        <v>120</v>
      </c>
      <c r="AH113" s="47">
        <f t="shared" si="9"/>
        <v>117.6</v>
      </c>
      <c r="AI113" s="48">
        <f t="shared" si="10"/>
        <v>82.3</v>
      </c>
    </row>
    <row r="114" spans="1:37" x14ac:dyDescent="0.25">
      <c r="A114" s="116" t="s">
        <v>118</v>
      </c>
      <c r="B114" s="117">
        <v>74</v>
      </c>
      <c r="C114" s="117">
        <v>77</v>
      </c>
      <c r="D114" s="117">
        <v>79</v>
      </c>
      <c r="E114" s="117">
        <v>79</v>
      </c>
      <c r="F114" s="117">
        <v>79</v>
      </c>
      <c r="G114" s="117">
        <v>84.1</v>
      </c>
      <c r="H114" s="117">
        <v>87.6</v>
      </c>
      <c r="I114" s="117">
        <v>85</v>
      </c>
      <c r="J114" s="117">
        <v>82.1</v>
      </c>
      <c r="K114" s="117">
        <v>86.4</v>
      </c>
      <c r="L114" s="117">
        <v>85</v>
      </c>
      <c r="M114" s="117">
        <v>80.2</v>
      </c>
      <c r="N114" s="117">
        <v>76</v>
      </c>
      <c r="O114" s="117">
        <v>86.6</v>
      </c>
      <c r="P114" s="117">
        <v>92.3</v>
      </c>
      <c r="Q114" s="117">
        <v>88.4</v>
      </c>
      <c r="R114" s="117">
        <v>88.4</v>
      </c>
      <c r="S114" s="117">
        <v>79.2</v>
      </c>
      <c r="T114" s="117">
        <v>76.3</v>
      </c>
      <c r="U114" s="117">
        <v>93.5</v>
      </c>
      <c r="V114" s="117">
        <v>73</v>
      </c>
      <c r="W114" s="117">
        <v>83</v>
      </c>
      <c r="X114" s="117">
        <v>90</v>
      </c>
      <c r="Y114" s="117">
        <v>63</v>
      </c>
      <c r="Z114" s="117">
        <v>92</v>
      </c>
      <c r="AA114" s="117">
        <v>90</v>
      </c>
      <c r="AB114" s="117">
        <v>92</v>
      </c>
      <c r="AC114" s="117">
        <v>92</v>
      </c>
      <c r="AD114" s="117">
        <v>88.1</v>
      </c>
      <c r="AE114" s="117">
        <v>89.2</v>
      </c>
      <c r="AF114" s="117">
        <v>89.2</v>
      </c>
      <c r="AG114" s="118"/>
      <c r="AH114" s="47">
        <f t="shared" si="9"/>
        <v>93.5</v>
      </c>
      <c r="AI114" s="48">
        <f t="shared" si="10"/>
        <v>63</v>
      </c>
    </row>
    <row r="115" spans="1:37" x14ac:dyDescent="0.25">
      <c r="A115" s="116" t="s">
        <v>119</v>
      </c>
      <c r="B115" s="117">
        <v>45</v>
      </c>
      <c r="C115" s="117"/>
      <c r="D115" s="117"/>
      <c r="E115" s="117"/>
      <c r="F115" s="117"/>
      <c r="G115" s="117"/>
      <c r="H115" s="117"/>
      <c r="I115" s="117">
        <v>35.700000000000003</v>
      </c>
      <c r="J115" s="117"/>
      <c r="K115" s="117"/>
      <c r="L115" s="117"/>
      <c r="M115" s="117"/>
      <c r="N115" s="117"/>
      <c r="O115" s="117">
        <v>23.2</v>
      </c>
      <c r="P115" s="117">
        <v>21.1</v>
      </c>
      <c r="Q115" s="117">
        <v>31</v>
      </c>
      <c r="R115" s="117">
        <v>31</v>
      </c>
      <c r="S115" s="117">
        <v>27.5</v>
      </c>
      <c r="T115" s="117"/>
      <c r="U115" s="117"/>
      <c r="V115" s="117">
        <v>23</v>
      </c>
      <c r="W115" s="117">
        <v>29</v>
      </c>
      <c r="X115" s="117"/>
      <c r="Y115" s="117">
        <v>13</v>
      </c>
      <c r="Z115" s="117"/>
      <c r="AA115" s="117"/>
      <c r="AB115" s="117">
        <v>16.899999999999999</v>
      </c>
      <c r="AC115" s="117"/>
      <c r="AD115" s="117"/>
      <c r="AE115" s="117"/>
      <c r="AF115" s="117"/>
      <c r="AG115" s="119"/>
      <c r="AH115" s="47">
        <f t="shared" si="9"/>
        <v>45</v>
      </c>
      <c r="AI115" s="48">
        <f t="shared" si="10"/>
        <v>13</v>
      </c>
    </row>
    <row r="116" spans="1:37" x14ac:dyDescent="0.25">
      <c r="A116" s="120" t="s">
        <v>120</v>
      </c>
      <c r="B116" s="106">
        <v>-17</v>
      </c>
      <c r="C116" s="106">
        <v>-15</v>
      </c>
      <c r="D116" s="106">
        <v>-17</v>
      </c>
      <c r="E116" s="106">
        <v>-17</v>
      </c>
      <c r="F116" s="106">
        <v>-17</v>
      </c>
      <c r="G116" s="106">
        <v>-18.5</v>
      </c>
      <c r="H116" s="106">
        <v>-30</v>
      </c>
      <c r="I116" s="106">
        <v>-47.9</v>
      </c>
      <c r="J116" s="106">
        <v>-56.7</v>
      </c>
      <c r="K116" s="106">
        <v>-69.400000000000006</v>
      </c>
      <c r="L116" s="106">
        <v>-81</v>
      </c>
      <c r="M116" s="106">
        <v>-86.4</v>
      </c>
      <c r="N116" s="106">
        <v>-66</v>
      </c>
      <c r="O116" s="106">
        <v>-68</v>
      </c>
      <c r="P116" s="106">
        <v>-63.6</v>
      </c>
      <c r="Q116" s="106">
        <v>-58</v>
      </c>
      <c r="R116" s="106">
        <v>-58</v>
      </c>
      <c r="S116" s="106">
        <v>-60.9</v>
      </c>
      <c r="T116" s="106">
        <v>-60.4</v>
      </c>
      <c r="U116" s="106">
        <v>-61.2</v>
      </c>
      <c r="V116" s="106">
        <v>-65</v>
      </c>
      <c r="W116" s="106">
        <v>-75</v>
      </c>
      <c r="X116" s="106">
        <v>-85</v>
      </c>
      <c r="Y116" s="106">
        <v>-95</v>
      </c>
      <c r="Z116" s="106">
        <v>-91</v>
      </c>
      <c r="AA116" s="106">
        <v>-74</v>
      </c>
      <c r="AB116" s="106">
        <v>-64.3</v>
      </c>
      <c r="AC116" s="106">
        <v>-49</v>
      </c>
      <c r="AD116" s="106">
        <v>-41.3</v>
      </c>
      <c r="AE116" s="106">
        <v>-25.2</v>
      </c>
      <c r="AF116" s="106">
        <v>-25.2</v>
      </c>
      <c r="AG116" s="119"/>
      <c r="AH116" s="47">
        <f t="shared" si="9"/>
        <v>-15</v>
      </c>
      <c r="AI116" s="48">
        <f t="shared" si="10"/>
        <v>-95</v>
      </c>
    </row>
    <row r="117" spans="1:37" ht="15.75" thickBot="1" x14ac:dyDescent="0.3">
      <c r="A117" s="120" t="s">
        <v>121</v>
      </c>
      <c r="B117" s="106">
        <v>77</v>
      </c>
      <c r="C117" s="106">
        <v>76</v>
      </c>
      <c r="D117" s="106">
        <v>78.099999999999994</v>
      </c>
      <c r="E117" s="106">
        <v>78.099999999999994</v>
      </c>
      <c r="F117" s="106">
        <v>78.099999999999994</v>
      </c>
      <c r="G117" s="106">
        <v>73.900000000000006</v>
      </c>
      <c r="H117" s="106">
        <v>75.2</v>
      </c>
      <c r="I117" s="106">
        <v>80.400000000000006</v>
      </c>
      <c r="J117" s="106">
        <v>81.900000000000006</v>
      </c>
      <c r="K117" s="106">
        <v>86.8</v>
      </c>
      <c r="L117" s="106">
        <v>89</v>
      </c>
      <c r="M117" s="106">
        <v>93.8</v>
      </c>
      <c r="N117" s="106">
        <v>82</v>
      </c>
      <c r="O117" s="106">
        <v>79.599999999999994</v>
      </c>
      <c r="P117" s="106">
        <v>90.9</v>
      </c>
      <c r="Q117" s="106">
        <v>94</v>
      </c>
      <c r="R117" s="106">
        <v>94</v>
      </c>
      <c r="S117" s="106">
        <v>97.4</v>
      </c>
      <c r="T117" s="106">
        <v>101.7</v>
      </c>
      <c r="U117" s="106">
        <v>95</v>
      </c>
      <c r="V117" s="106">
        <v>70</v>
      </c>
      <c r="W117" s="106">
        <v>67</v>
      </c>
      <c r="X117" s="106">
        <v>74</v>
      </c>
      <c r="Y117" s="106">
        <v>90</v>
      </c>
      <c r="Z117" s="106">
        <v>93</v>
      </c>
      <c r="AA117" s="106">
        <v>88</v>
      </c>
      <c r="AB117" s="106">
        <v>86.6</v>
      </c>
      <c r="AC117" s="106">
        <v>76.8</v>
      </c>
      <c r="AD117" s="106">
        <v>81.2</v>
      </c>
      <c r="AE117" s="106">
        <v>84.5</v>
      </c>
      <c r="AF117" s="106">
        <v>84.5</v>
      </c>
      <c r="AG117" s="119"/>
      <c r="AH117" s="47">
        <f t="shared" si="9"/>
        <v>101.7</v>
      </c>
      <c r="AI117" s="48">
        <f t="shared" si="10"/>
        <v>67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17">SUM(B119:B223)</f>
        <v>0</v>
      </c>
      <c r="C224" s="136">
        <f t="shared" si="17"/>
        <v>0</v>
      </c>
      <c r="D224" s="136">
        <f t="shared" si="17"/>
        <v>0</v>
      </c>
      <c r="E224" s="136">
        <f t="shared" si="17"/>
        <v>0</v>
      </c>
      <c r="F224" s="136">
        <f t="shared" si="17"/>
        <v>0</v>
      </c>
      <c r="G224" s="136">
        <f t="shared" si="17"/>
        <v>0</v>
      </c>
      <c r="H224" s="136">
        <f t="shared" si="17"/>
        <v>0</v>
      </c>
      <c r="I224" s="136">
        <f t="shared" si="17"/>
        <v>0</v>
      </c>
      <c r="J224" s="136">
        <f t="shared" si="17"/>
        <v>0</v>
      </c>
      <c r="K224" s="136">
        <f t="shared" si="17"/>
        <v>0</v>
      </c>
      <c r="L224" s="136">
        <f t="shared" si="17"/>
        <v>0</v>
      </c>
      <c r="M224" s="136">
        <f t="shared" si="17"/>
        <v>0</v>
      </c>
      <c r="N224" s="136">
        <f t="shared" si="17"/>
        <v>0</v>
      </c>
      <c r="O224" s="136">
        <f t="shared" si="17"/>
        <v>0</v>
      </c>
      <c r="P224" s="136">
        <f t="shared" si="17"/>
        <v>0</v>
      </c>
      <c r="Q224" s="136">
        <f t="shared" si="17"/>
        <v>0</v>
      </c>
      <c r="R224" s="136">
        <f t="shared" si="17"/>
        <v>0</v>
      </c>
      <c r="S224" s="136">
        <f t="shared" si="17"/>
        <v>0</v>
      </c>
      <c r="T224" s="136">
        <f t="shared" si="17"/>
        <v>0</v>
      </c>
      <c r="U224" s="136">
        <f t="shared" si="17"/>
        <v>0</v>
      </c>
      <c r="V224" s="136">
        <f t="shared" si="17"/>
        <v>0</v>
      </c>
      <c r="W224" s="136">
        <f t="shared" si="17"/>
        <v>0</v>
      </c>
      <c r="X224" s="136">
        <f t="shared" si="17"/>
        <v>0</v>
      </c>
      <c r="Y224" s="136">
        <f t="shared" si="17"/>
        <v>0</v>
      </c>
      <c r="Z224" s="136">
        <f t="shared" si="17"/>
        <v>0</v>
      </c>
      <c r="AA224" s="136">
        <f t="shared" si="17"/>
        <v>0</v>
      </c>
      <c r="AB224" s="136">
        <f t="shared" si="17"/>
        <v>0</v>
      </c>
      <c r="AC224" s="136">
        <f t="shared" si="17"/>
        <v>0</v>
      </c>
      <c r="AD224" s="136">
        <f t="shared" si="17"/>
        <v>0</v>
      </c>
      <c r="AE224" s="136">
        <f t="shared" si="17"/>
        <v>0</v>
      </c>
      <c r="AF224" s="137">
        <f t="shared" si="17"/>
        <v>0</v>
      </c>
      <c r="AG224" s="138">
        <f t="shared" si="1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18">AF226</f>
        <v>0</v>
      </c>
      <c r="C226" s="140">
        <v>0.3</v>
      </c>
      <c r="D226" s="140">
        <f t="shared" ref="D226:P231" si="19">C226</f>
        <v>0.3</v>
      </c>
      <c r="E226" s="140">
        <f t="shared" si="19"/>
        <v>0.3</v>
      </c>
      <c r="F226" s="140">
        <f t="shared" si="19"/>
        <v>0.3</v>
      </c>
      <c r="G226" s="140">
        <f t="shared" si="19"/>
        <v>0.3</v>
      </c>
      <c r="H226" s="140">
        <f t="shared" si="19"/>
        <v>0.3</v>
      </c>
      <c r="I226" s="140">
        <f t="shared" si="19"/>
        <v>0.3</v>
      </c>
      <c r="J226" s="140">
        <f t="shared" si="19"/>
        <v>0.3</v>
      </c>
      <c r="K226" s="140">
        <f t="shared" si="19"/>
        <v>0.3</v>
      </c>
      <c r="L226" s="140">
        <f t="shared" si="19"/>
        <v>0.3</v>
      </c>
      <c r="M226" s="140">
        <f t="shared" si="19"/>
        <v>0.3</v>
      </c>
      <c r="N226" s="140">
        <f t="shared" si="19"/>
        <v>0.3</v>
      </c>
      <c r="O226" s="140">
        <f t="shared" si="19"/>
        <v>0.3</v>
      </c>
      <c r="P226" s="140">
        <f t="shared" si="1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18"/>
        <v>0</v>
      </c>
      <c r="C227" s="128">
        <v>0.4</v>
      </c>
      <c r="D227" s="128">
        <f t="shared" si="19"/>
        <v>0.4</v>
      </c>
      <c r="E227" s="128">
        <f t="shared" si="19"/>
        <v>0.4</v>
      </c>
      <c r="F227" s="128">
        <f t="shared" si="19"/>
        <v>0.4</v>
      </c>
      <c r="G227" s="128">
        <f t="shared" si="19"/>
        <v>0.4</v>
      </c>
      <c r="H227" s="128">
        <f t="shared" si="19"/>
        <v>0.4</v>
      </c>
      <c r="I227" s="128">
        <f t="shared" si="19"/>
        <v>0.4</v>
      </c>
      <c r="J227" s="128">
        <f t="shared" si="19"/>
        <v>0.4</v>
      </c>
      <c r="K227" s="128">
        <f t="shared" si="19"/>
        <v>0.4</v>
      </c>
      <c r="L227" s="128">
        <f t="shared" si="19"/>
        <v>0.4</v>
      </c>
      <c r="M227" s="128">
        <f t="shared" si="19"/>
        <v>0.4</v>
      </c>
      <c r="N227" s="128">
        <f t="shared" si="19"/>
        <v>0.4</v>
      </c>
      <c r="O227" s="128">
        <f t="shared" si="19"/>
        <v>0.4</v>
      </c>
      <c r="P227" s="128">
        <f t="shared" si="1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18"/>
        <v>0</v>
      </c>
      <c r="C228" s="128">
        <v>1.5</v>
      </c>
      <c r="D228" s="128">
        <f t="shared" si="19"/>
        <v>1.5</v>
      </c>
      <c r="E228" s="128">
        <f t="shared" si="19"/>
        <v>1.5</v>
      </c>
      <c r="F228" s="128">
        <f t="shared" si="19"/>
        <v>1.5</v>
      </c>
      <c r="G228" s="128">
        <f t="shared" si="19"/>
        <v>1.5</v>
      </c>
      <c r="H228" s="128">
        <f t="shared" si="1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19"/>
        <v>1.5</v>
      </c>
      <c r="K228" s="128">
        <f t="shared" ca="1" si="19"/>
        <v>1.5</v>
      </c>
      <c r="L228" s="128">
        <f t="shared" ca="1" si="19"/>
        <v>1.5</v>
      </c>
      <c r="M228" s="128">
        <f t="shared" ca="1" si="19"/>
        <v>1.5</v>
      </c>
      <c r="N228" s="128">
        <f t="shared" ca="1" si="19"/>
        <v>1.5</v>
      </c>
      <c r="O228" s="128">
        <f t="shared" ca="1" si="19"/>
        <v>1.5</v>
      </c>
      <c r="P228" s="128">
        <f t="shared" ca="1" si="1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18"/>
        <v>0</v>
      </c>
      <c r="C229" s="128">
        <v>0.3</v>
      </c>
      <c r="D229" s="128">
        <f t="shared" si="19"/>
        <v>0.3</v>
      </c>
      <c r="E229" s="128">
        <f t="shared" si="19"/>
        <v>0.3</v>
      </c>
      <c r="F229" s="128">
        <f t="shared" si="19"/>
        <v>0.3</v>
      </c>
      <c r="G229" s="128">
        <f t="shared" si="19"/>
        <v>0.3</v>
      </c>
      <c r="H229" s="128">
        <f t="shared" si="19"/>
        <v>0.3</v>
      </c>
      <c r="I229" s="128">
        <f t="shared" si="19"/>
        <v>0.3</v>
      </c>
      <c r="J229" s="128">
        <f t="shared" si="19"/>
        <v>0.3</v>
      </c>
      <c r="K229" s="128">
        <f t="shared" si="19"/>
        <v>0.3</v>
      </c>
      <c r="L229" s="128">
        <f t="shared" si="19"/>
        <v>0.3</v>
      </c>
      <c r="M229" s="128">
        <f t="shared" si="19"/>
        <v>0.3</v>
      </c>
      <c r="N229" s="128">
        <f t="shared" si="19"/>
        <v>0.3</v>
      </c>
      <c r="O229" s="128">
        <f t="shared" si="19"/>
        <v>0.3</v>
      </c>
      <c r="P229" s="128">
        <f t="shared" si="1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18"/>
        <v>0</v>
      </c>
      <c r="C231" s="132">
        <v>0.64</v>
      </c>
      <c r="D231" s="132">
        <f t="shared" si="19"/>
        <v>0.64</v>
      </c>
      <c r="E231" s="132">
        <f t="shared" si="19"/>
        <v>0.64</v>
      </c>
      <c r="F231" s="132">
        <f t="shared" si="19"/>
        <v>0.64</v>
      </c>
      <c r="G231" s="132">
        <f t="shared" si="19"/>
        <v>0.64</v>
      </c>
      <c r="H231" s="132">
        <f t="shared" si="19"/>
        <v>0.64</v>
      </c>
      <c r="I231" s="132">
        <f t="shared" si="19"/>
        <v>0.64</v>
      </c>
      <c r="J231" s="132">
        <f t="shared" si="19"/>
        <v>0.64</v>
      </c>
      <c r="K231" s="132">
        <f t="shared" si="19"/>
        <v>0.64</v>
      </c>
      <c r="L231" s="132">
        <f t="shared" si="19"/>
        <v>0.64</v>
      </c>
      <c r="M231" s="132">
        <f t="shared" si="19"/>
        <v>0.64</v>
      </c>
      <c r="N231" s="132">
        <f t="shared" si="19"/>
        <v>0.64</v>
      </c>
      <c r="O231" s="132">
        <f t="shared" si="19"/>
        <v>0.64</v>
      </c>
      <c r="P231" s="132">
        <f t="shared" si="1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0">SUM(B226:B231)</f>
        <v>0</v>
      </c>
      <c r="C232" s="136">
        <f t="shared" si="20"/>
        <v>3.54</v>
      </c>
      <c r="D232" s="136">
        <f t="shared" si="20"/>
        <v>3.54</v>
      </c>
      <c r="E232" s="136">
        <f t="shared" si="20"/>
        <v>3.54</v>
      </c>
      <c r="F232" s="136">
        <f t="shared" si="20"/>
        <v>3.54</v>
      </c>
      <c r="G232" s="136">
        <f t="shared" si="20"/>
        <v>3.54</v>
      </c>
      <c r="H232" s="136">
        <f t="shared" si="20"/>
        <v>3.54</v>
      </c>
      <c r="I232" s="136">
        <f t="shared" ca="1" si="20"/>
        <v>3.54</v>
      </c>
      <c r="J232" s="136">
        <f t="shared" ca="1" si="20"/>
        <v>3.54</v>
      </c>
      <c r="K232" s="136">
        <f t="shared" ca="1" si="20"/>
        <v>3.54</v>
      </c>
      <c r="L232" s="136">
        <f t="shared" ca="1" si="20"/>
        <v>3.54</v>
      </c>
      <c r="M232" s="136">
        <f t="shared" ca="1" si="20"/>
        <v>3.54</v>
      </c>
      <c r="N232" s="136">
        <f t="shared" ca="1" si="20"/>
        <v>3.54</v>
      </c>
      <c r="O232" s="136">
        <f t="shared" ca="1" si="20"/>
        <v>3.54</v>
      </c>
      <c r="P232" s="136">
        <f t="shared" ca="1" si="20"/>
        <v>3.54</v>
      </c>
      <c r="Q232" s="136">
        <f t="shared" si="20"/>
        <v>0</v>
      </c>
      <c r="R232" s="136">
        <f t="shared" si="20"/>
        <v>0</v>
      </c>
      <c r="S232" s="136">
        <f t="shared" si="20"/>
        <v>0</v>
      </c>
      <c r="T232" s="136">
        <f t="shared" si="20"/>
        <v>0</v>
      </c>
      <c r="U232" s="136">
        <f t="shared" si="20"/>
        <v>0</v>
      </c>
      <c r="V232" s="136">
        <f t="shared" si="20"/>
        <v>0</v>
      </c>
      <c r="W232" s="136">
        <f t="shared" si="20"/>
        <v>0</v>
      </c>
      <c r="X232" s="136">
        <f t="shared" si="20"/>
        <v>0</v>
      </c>
      <c r="Y232" s="136">
        <f t="shared" si="20"/>
        <v>0</v>
      </c>
      <c r="Z232" s="136">
        <f t="shared" si="20"/>
        <v>0</v>
      </c>
      <c r="AA232" s="136">
        <f t="shared" si="20"/>
        <v>0</v>
      </c>
      <c r="AB232" s="136">
        <f t="shared" si="20"/>
        <v>0</v>
      </c>
      <c r="AC232" s="136">
        <f t="shared" si="20"/>
        <v>0</v>
      </c>
      <c r="AD232" s="136">
        <f t="shared" si="20"/>
        <v>0</v>
      </c>
      <c r="AE232" s="136">
        <f t="shared" si="20"/>
        <v>0</v>
      </c>
      <c r="AF232" s="136">
        <f t="shared" si="20"/>
        <v>0</v>
      </c>
      <c r="AG232" s="145">
        <f t="shared" si="2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1418.94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29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2079/11/29)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2079/11/29)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1">B89</f>
        <v>1056.8399999999999</v>
      </c>
      <c r="U246" s="170">
        <f t="shared" si="21"/>
        <v>1056.24</v>
      </c>
      <c r="V246" s="170">
        <f t="shared" si="21"/>
        <v>1060.74</v>
      </c>
      <c r="W246" s="170">
        <f t="shared" si="21"/>
        <v>1047.3399999999999</v>
      </c>
      <c r="X246" s="170">
        <f t="shared" si="21"/>
        <v>1028.7399999999998</v>
      </c>
      <c r="Y246" s="170">
        <f t="shared" si="21"/>
        <v>1075.24</v>
      </c>
      <c r="Z246" s="170">
        <f t="shared" si="21"/>
        <v>1146.04</v>
      </c>
      <c r="AA246" s="170">
        <f t="shared" si="21"/>
        <v>1183.54</v>
      </c>
      <c r="AB246" s="170">
        <f t="shared" si="21"/>
        <v>1195.24</v>
      </c>
      <c r="AC246" s="170">
        <f t="shared" si="21"/>
        <v>1249.04</v>
      </c>
      <c r="AD246" s="170">
        <f t="shared" si="21"/>
        <v>1282.74</v>
      </c>
      <c r="AE246" s="170">
        <f t="shared" si="21"/>
        <v>1418.94</v>
      </c>
      <c r="AF246" s="170">
        <f t="shared" si="21"/>
        <v>1383.1399999999999</v>
      </c>
      <c r="AG246" s="170">
        <f t="shared" si="21"/>
        <v>1380.54</v>
      </c>
      <c r="AH246" s="170">
        <f t="shared" si="21"/>
        <v>1239.7399999999998</v>
      </c>
      <c r="AI246" s="170">
        <f t="shared" si="21"/>
        <v>1292.3399999999999</v>
      </c>
      <c r="AJ246" s="170">
        <f t="shared" si="21"/>
        <v>1293.3399999999999</v>
      </c>
      <c r="AK246" s="170">
        <f t="shared" si="21"/>
        <v>1315.84</v>
      </c>
      <c r="AL246" s="170">
        <f t="shared" si="21"/>
        <v>1256.8400000000001</v>
      </c>
      <c r="AM246" s="170">
        <f t="shared" si="21"/>
        <v>1350.54</v>
      </c>
      <c r="AN246" s="170">
        <f t="shared" si="21"/>
        <v>1311.1399999999999</v>
      </c>
      <c r="AO246" s="170">
        <f t="shared" si="21"/>
        <v>1349.54</v>
      </c>
      <c r="AP246" s="170">
        <f t="shared" si="21"/>
        <v>1397.94</v>
      </c>
      <c r="AQ246" s="170">
        <f t="shared" si="21"/>
        <v>1497.8400000000001</v>
      </c>
      <c r="AR246" s="170">
        <f t="shared" si="21"/>
        <v>1568.54</v>
      </c>
      <c r="AS246" s="170">
        <f t="shared" si="21"/>
        <v>1504.84</v>
      </c>
      <c r="AT246" s="170">
        <f t="shared" si="21"/>
        <v>1468.54</v>
      </c>
      <c r="AU246" s="170">
        <f t="shared" si="21"/>
        <v>1203.04</v>
      </c>
      <c r="AV246" s="170">
        <f t="shared" si="21"/>
        <v>1184.2399999999998</v>
      </c>
      <c r="AW246" s="170">
        <f t="shared" si="21"/>
        <v>1126.94</v>
      </c>
      <c r="AX246" s="170">
        <f t="shared" si="21"/>
        <v>1067.1399999999999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22">C231</f>
        <v>0.64</v>
      </c>
      <c r="C267" s="173">
        <f t="shared" si="22"/>
        <v>0.64</v>
      </c>
      <c r="D267" s="173">
        <f t="shared" si="22"/>
        <v>0.64</v>
      </c>
      <c r="E267" s="173">
        <f t="shared" si="22"/>
        <v>0.64</v>
      </c>
      <c r="F267" s="173">
        <f t="shared" si="22"/>
        <v>0.64</v>
      </c>
      <c r="G267" s="173">
        <f t="shared" si="22"/>
        <v>0.64</v>
      </c>
      <c r="H267" s="173">
        <f t="shared" si="22"/>
        <v>0.64</v>
      </c>
      <c r="I267" s="173">
        <f t="shared" si="22"/>
        <v>0.64</v>
      </c>
      <c r="J267" s="173">
        <f t="shared" si="22"/>
        <v>0.64</v>
      </c>
      <c r="K267" s="173">
        <f t="shared" si="22"/>
        <v>0.64</v>
      </c>
      <c r="L267" s="173">
        <f t="shared" si="22"/>
        <v>0.64</v>
      </c>
      <c r="M267" s="173">
        <f t="shared" si="22"/>
        <v>0.64</v>
      </c>
      <c r="N267" s="173">
        <f t="shared" si="22"/>
        <v>0.64</v>
      </c>
      <c r="O267" s="173">
        <f t="shared" si="22"/>
        <v>0.64</v>
      </c>
      <c r="P267" s="173">
        <f t="shared" si="22"/>
        <v>0</v>
      </c>
      <c r="Q267" s="173">
        <f t="shared" si="22"/>
        <v>0</v>
      </c>
      <c r="R267" s="173">
        <f t="shared" si="22"/>
        <v>0</v>
      </c>
      <c r="S267" s="173">
        <f t="shared" si="22"/>
        <v>0</v>
      </c>
      <c r="T267" s="173">
        <f t="shared" si="22"/>
        <v>0</v>
      </c>
      <c r="U267" s="173">
        <f t="shared" si="22"/>
        <v>0</v>
      </c>
      <c r="V267" s="173">
        <f t="shared" si="22"/>
        <v>0</v>
      </c>
      <c r="W267" s="173">
        <f t="shared" si="22"/>
        <v>0</v>
      </c>
      <c r="X267" s="173">
        <f t="shared" si="22"/>
        <v>0</v>
      </c>
      <c r="Y267" s="173">
        <f t="shared" si="22"/>
        <v>0</v>
      </c>
      <c r="Z267" s="173">
        <f t="shared" si="22"/>
        <v>0</v>
      </c>
      <c r="AA267" s="173">
        <f t="shared" si="22"/>
        <v>0</v>
      </c>
      <c r="AB267" s="173">
        <f t="shared" si="22"/>
        <v>0</v>
      </c>
      <c r="AC267" s="173">
        <f t="shared" si="22"/>
        <v>0</v>
      </c>
      <c r="AD267" s="173">
        <f t="shared" si="22"/>
        <v>0</v>
      </c>
      <c r="AE267" s="173">
        <f t="shared" si="2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3">IF(B235&lt;100,"",B235-520)</f>
        <v/>
      </c>
      <c r="C268" s="174" t="str">
        <f t="shared" si="23"/>
        <v/>
      </c>
      <c r="D268" s="174" t="str">
        <f t="shared" si="23"/>
        <v/>
      </c>
      <c r="E268" s="174" t="str">
        <f t="shared" si="23"/>
        <v/>
      </c>
      <c r="F268" s="174" t="str">
        <f t="shared" si="23"/>
        <v/>
      </c>
      <c r="G268" s="174" t="str">
        <f t="shared" si="23"/>
        <v/>
      </c>
      <c r="H268" s="174" t="str">
        <f t="shared" si="23"/>
        <v/>
      </c>
      <c r="I268" s="174" t="str">
        <f t="shared" si="23"/>
        <v/>
      </c>
      <c r="J268" s="174" t="str">
        <f t="shared" si="23"/>
        <v/>
      </c>
      <c r="K268" s="174" t="str">
        <f t="shared" si="23"/>
        <v/>
      </c>
      <c r="L268" s="174" t="str">
        <f t="shared" si="23"/>
        <v/>
      </c>
      <c r="M268" s="174" t="str">
        <f t="shared" si="23"/>
        <v/>
      </c>
      <c r="N268" s="174" t="str">
        <f t="shared" si="23"/>
        <v/>
      </c>
      <c r="O268" s="174" t="str">
        <f t="shared" si="23"/>
        <v/>
      </c>
      <c r="P268" s="174" t="str">
        <f t="shared" si="23"/>
        <v/>
      </c>
      <c r="Q268" s="174" t="str">
        <f t="shared" si="23"/>
        <v/>
      </c>
      <c r="R268" s="174" t="str">
        <f t="shared" si="23"/>
        <v/>
      </c>
      <c r="S268" s="174" t="str">
        <f t="shared" si="23"/>
        <v/>
      </c>
      <c r="T268" s="174" t="str">
        <f t="shared" si="23"/>
        <v/>
      </c>
      <c r="U268" s="174" t="str">
        <f t="shared" si="23"/>
        <v/>
      </c>
      <c r="V268" s="174" t="str">
        <f t="shared" si="23"/>
        <v/>
      </c>
      <c r="W268" s="174" t="str">
        <f t="shared" si="23"/>
        <v/>
      </c>
      <c r="X268" s="174" t="str">
        <f t="shared" si="23"/>
        <v/>
      </c>
      <c r="Y268" s="174" t="str">
        <f t="shared" si="23"/>
        <v/>
      </c>
      <c r="Z268" s="174" t="str">
        <f t="shared" si="23"/>
        <v/>
      </c>
      <c r="AA268" s="174" t="str">
        <f t="shared" si="23"/>
        <v/>
      </c>
      <c r="AB268" s="174" t="str">
        <f t="shared" si="23"/>
        <v/>
      </c>
      <c r="AC268" s="174" t="str">
        <f t="shared" si="23"/>
        <v/>
      </c>
      <c r="AD268" s="174" t="str">
        <f t="shared" si="23"/>
        <v/>
      </c>
      <c r="AE268" s="174" t="str">
        <f t="shared" si="23"/>
        <v/>
      </c>
      <c r="AF268" s="174" t="str">
        <f t="shared" si="2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4">IF(B236&lt;100,"",B236-620)</f>
        <v/>
      </c>
      <c r="C269" s="174" t="str">
        <f t="shared" si="24"/>
        <v/>
      </c>
      <c r="D269" s="174" t="str">
        <f t="shared" si="24"/>
        <v/>
      </c>
      <c r="E269" s="174" t="str">
        <f t="shared" si="24"/>
        <v/>
      </c>
      <c r="F269" s="174" t="str">
        <f t="shared" si="24"/>
        <v/>
      </c>
      <c r="G269" s="174" t="str">
        <f t="shared" si="24"/>
        <v/>
      </c>
      <c r="H269" s="174" t="str">
        <f t="shared" si="24"/>
        <v/>
      </c>
      <c r="I269" s="174" t="str">
        <f t="shared" si="24"/>
        <v/>
      </c>
      <c r="J269" s="174" t="str">
        <f t="shared" si="24"/>
        <v/>
      </c>
      <c r="K269" s="174" t="str">
        <f t="shared" si="24"/>
        <v/>
      </c>
      <c r="L269" s="174" t="str">
        <f t="shared" si="24"/>
        <v/>
      </c>
      <c r="M269" s="174" t="str">
        <f t="shared" si="24"/>
        <v/>
      </c>
      <c r="N269" s="174" t="str">
        <f t="shared" si="24"/>
        <v/>
      </c>
      <c r="O269" s="174" t="str">
        <f t="shared" si="24"/>
        <v/>
      </c>
      <c r="P269" s="174" t="str">
        <f t="shared" si="24"/>
        <v/>
      </c>
      <c r="Q269" s="174" t="str">
        <f t="shared" si="24"/>
        <v/>
      </c>
      <c r="R269" s="174" t="str">
        <f t="shared" si="24"/>
        <v/>
      </c>
      <c r="S269" s="174" t="str">
        <f t="shared" si="24"/>
        <v/>
      </c>
      <c r="T269" s="174" t="str">
        <f t="shared" si="24"/>
        <v/>
      </c>
      <c r="U269" s="174" t="str">
        <f t="shared" si="24"/>
        <v/>
      </c>
      <c r="V269" s="174" t="str">
        <f t="shared" si="24"/>
        <v/>
      </c>
      <c r="W269" s="174" t="str">
        <f t="shared" si="24"/>
        <v/>
      </c>
      <c r="X269" s="174" t="str">
        <f t="shared" si="24"/>
        <v/>
      </c>
      <c r="Y269" s="174" t="str">
        <f t="shared" si="24"/>
        <v/>
      </c>
      <c r="Z269" s="174" t="str">
        <f t="shared" si="24"/>
        <v/>
      </c>
      <c r="AA269" s="174" t="str">
        <f t="shared" si="24"/>
        <v/>
      </c>
      <c r="AB269" s="174" t="str">
        <f t="shared" si="24"/>
        <v/>
      </c>
      <c r="AC269" s="174" t="str">
        <f t="shared" si="24"/>
        <v/>
      </c>
      <c r="AD269" s="174" t="str">
        <f t="shared" si="24"/>
        <v/>
      </c>
      <c r="AE269" s="174" t="str">
        <f t="shared" si="24"/>
        <v/>
      </c>
      <c r="AF269" s="174" t="str">
        <f t="shared" si="2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5">IF(B237&lt;100,"",B237-330)</f>
        <v/>
      </c>
      <c r="C270" s="174" t="str">
        <f t="shared" si="25"/>
        <v/>
      </c>
      <c r="D270" s="174" t="str">
        <f t="shared" si="25"/>
        <v/>
      </c>
      <c r="E270" s="174" t="str">
        <f t="shared" si="25"/>
        <v/>
      </c>
      <c r="F270" s="174" t="str">
        <f t="shared" si="25"/>
        <v/>
      </c>
      <c r="G270" s="174" t="str">
        <f t="shared" si="25"/>
        <v/>
      </c>
      <c r="H270" s="174" t="str">
        <f t="shared" si="25"/>
        <v/>
      </c>
      <c r="I270" s="174" t="str">
        <f t="shared" si="25"/>
        <v/>
      </c>
      <c r="J270" s="174" t="str">
        <f t="shared" si="25"/>
        <v/>
      </c>
      <c r="K270" s="174" t="str">
        <f t="shared" si="25"/>
        <v/>
      </c>
      <c r="L270" s="174" t="str">
        <f t="shared" si="25"/>
        <v/>
      </c>
      <c r="M270" s="174" t="str">
        <f t="shared" si="25"/>
        <v/>
      </c>
      <c r="N270" s="174" t="str">
        <f t="shared" si="25"/>
        <v/>
      </c>
      <c r="O270" s="174" t="str">
        <f t="shared" si="25"/>
        <v/>
      </c>
      <c r="P270" s="174" t="str">
        <f t="shared" si="25"/>
        <v/>
      </c>
      <c r="Q270" s="174" t="str">
        <f t="shared" si="25"/>
        <v/>
      </c>
      <c r="R270" s="174" t="str">
        <f t="shared" si="25"/>
        <v/>
      </c>
      <c r="S270" s="174" t="str">
        <f t="shared" si="25"/>
        <v/>
      </c>
      <c r="T270" s="174" t="str">
        <f t="shared" si="25"/>
        <v/>
      </c>
      <c r="U270" s="174" t="str">
        <f t="shared" si="25"/>
        <v/>
      </c>
      <c r="V270" s="174" t="str">
        <f t="shared" si="25"/>
        <v/>
      </c>
      <c r="W270" s="174" t="str">
        <f t="shared" si="25"/>
        <v/>
      </c>
      <c r="X270" s="174" t="str">
        <f t="shared" si="25"/>
        <v/>
      </c>
      <c r="Y270" s="174" t="str">
        <f t="shared" si="25"/>
        <v/>
      </c>
      <c r="Z270" s="174" t="str">
        <f t="shared" si="25"/>
        <v/>
      </c>
      <c r="AA270" s="174" t="str">
        <f t="shared" si="25"/>
        <v/>
      </c>
      <c r="AB270" s="174" t="str">
        <f t="shared" si="25"/>
        <v/>
      </c>
      <c r="AC270" s="174" t="str">
        <f t="shared" si="25"/>
        <v/>
      </c>
      <c r="AD270" s="174" t="str">
        <f t="shared" si="25"/>
        <v/>
      </c>
      <c r="AE270" s="174" t="str">
        <f t="shared" si="25"/>
        <v/>
      </c>
      <c r="AF270" s="174" t="str">
        <f t="shared" si="2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6">IF(B238&lt;100,"",B238-1500)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188" priority="378">
      <formula>B$9&gt;=20/24</formula>
    </cfRule>
    <cfRule type="expression" dxfId="2187" priority="379">
      <formula>AND(B$9&gt;=14/24,B$9&lt;20/24)</formula>
    </cfRule>
    <cfRule type="expression" dxfId="2186" priority="380">
      <formula>AND(B$9&gt;=8/24,B$9&lt;14/24)</formula>
    </cfRule>
    <cfRule type="expression" dxfId="2185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184" priority="376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183" priority="375">
      <formula>$AH12=0</formula>
    </cfRule>
  </conditionalFormatting>
  <conditionalFormatting sqref="A114">
    <cfRule type="expression" dxfId="2182" priority="374">
      <formula>$AH114=0</formula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181" priority="372">
      <formula>$AH45=0</formula>
    </cfRule>
  </conditionalFormatting>
  <conditionalFormatting sqref="A98">
    <cfRule type="expression" dxfId="2180" priority="371">
      <formula>$AH98=0</formula>
    </cfRule>
  </conditionalFormatting>
  <conditionalFormatting sqref="A18">
    <cfRule type="expression" dxfId="2179" priority="370">
      <formula>$AH18=0</formula>
    </cfRule>
  </conditionalFormatting>
  <conditionalFormatting sqref="A196:A201">
    <cfRule type="expression" dxfId="2178" priority="369">
      <formula>$AH196=0</formula>
    </cfRule>
  </conditionalFormatting>
  <conditionalFormatting sqref="A190:A195">
    <cfRule type="expression" dxfId="2177" priority="368">
      <formula>$AH190=0</formula>
    </cfRule>
  </conditionalFormatting>
  <conditionalFormatting sqref="A58">
    <cfRule type="expression" dxfId="2176" priority="367">
      <formula>$AH58=0</formula>
    </cfRule>
  </conditionalFormatting>
  <conditionalFormatting sqref="A94">
    <cfRule type="expression" dxfId="2175" priority="366">
      <formula>$AH94=0</formula>
    </cfRule>
  </conditionalFormatting>
  <conditionalFormatting sqref="AE99:AF99 F99:X99">
    <cfRule type="expression" dxfId="2174" priority="362">
      <formula>F$9&gt;=20/24</formula>
    </cfRule>
    <cfRule type="expression" dxfId="2173" priority="363">
      <formula>AND(F$9&gt;=14/24,F$9&lt;20/24)</formula>
    </cfRule>
    <cfRule type="expression" dxfId="2172" priority="364">
      <formula>AND(F$9&gt;=8/24,F$9&lt;14/24)</formula>
    </cfRule>
    <cfRule type="expression" dxfId="2171" priority="365">
      <formula>F$9&lt;8/24</formula>
    </cfRule>
  </conditionalFormatting>
  <conditionalFormatting sqref="AL4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70" priority="384">
      <formula>C$9&gt;=20/24</formula>
    </cfRule>
    <cfRule type="expression" dxfId="2169" priority="385">
      <formula>AND(C$9&gt;=14/24,C$9&lt;20/24)</formula>
    </cfRule>
    <cfRule type="expression" dxfId="2168" priority="386">
      <formula>AND(C$9&gt;=8/24,C$9&lt;14/24)</formula>
    </cfRule>
    <cfRule type="expression" dxfId="2167" priority="387">
      <formula>C$9&lt;8/24</formula>
    </cfRule>
  </conditionalFormatting>
  <conditionalFormatting sqref="A233">
    <cfRule type="expression" dxfId="2166" priority="388">
      <formula>$AH233=0</formula>
    </cfRule>
  </conditionalFormatting>
  <conditionalFormatting sqref="AG245">
    <cfRule type="expression" dxfId="2165" priority="389">
      <formula>B$9&gt;=20/24</formula>
    </cfRule>
    <cfRule type="expression" dxfId="2164" priority="390">
      <formula>AND(B$9&gt;=14/24,B$9&lt;20/24)</formula>
    </cfRule>
    <cfRule type="expression" dxfId="2163" priority="391">
      <formula>AND(B$9&gt;=8/24,B$9&lt;14/24)</formula>
    </cfRule>
    <cfRule type="expression" dxfId="2162" priority="392">
      <formula>B$9&lt;8/24</formula>
    </cfRule>
  </conditionalFormatting>
  <conditionalFormatting sqref="S8">
    <cfRule type="expression" dxfId="2161" priority="357">
      <formula>U$9&gt;=20/24</formula>
    </cfRule>
    <cfRule type="expression" dxfId="2160" priority="358">
      <formula>AND(U$9&gt;=14/24,U$9&lt;20/24)</formula>
    </cfRule>
    <cfRule type="expression" dxfId="2159" priority="359">
      <formula>AND(U$9&gt;=8/24,U$9&lt;14/24)</formula>
    </cfRule>
    <cfRule type="expression" dxfId="2158" priority="360">
      <formula>U$9&lt;8/24</formula>
    </cfRule>
  </conditionalFormatting>
  <conditionalFormatting sqref="AB8">
    <cfRule type="expression" dxfId="2157" priority="353">
      <formula>AD$9&gt;=20/24</formula>
    </cfRule>
    <cfRule type="expression" dxfId="2156" priority="354">
      <formula>AND(AD$9&gt;=14/24,AD$9&lt;20/24)</formula>
    </cfRule>
    <cfRule type="expression" dxfId="2155" priority="355">
      <formula>AND(AD$9&gt;=8/24,AD$9&lt;14/24)</formula>
    </cfRule>
    <cfRule type="expression" dxfId="2154" priority="356">
      <formula>AD$9&lt;8/24</formula>
    </cfRule>
  </conditionalFormatting>
  <conditionalFormatting sqref="AH245:AX245">
    <cfRule type="expression" dxfId="2153" priority="393">
      <formula>AG$9&gt;=20/24</formula>
    </cfRule>
    <cfRule type="expression" dxfId="2152" priority="394">
      <formula>AND(AG$9&gt;=14/24,AG$9&lt;20/24)</formula>
    </cfRule>
    <cfRule type="expression" dxfId="2151" priority="395">
      <formula>AND(AG$9&gt;=8/24,AG$9&lt;14/24)</formula>
    </cfRule>
    <cfRule type="expression" dxfId="2150" priority="396">
      <formula>AG$9&lt;8/24</formula>
    </cfRule>
  </conditionalFormatting>
  <conditionalFormatting sqref="T245">
    <cfRule type="expression" dxfId="2149" priority="397">
      <formula>AX$9&gt;=20/24</formula>
    </cfRule>
    <cfRule type="expression" dxfId="2148" priority="398">
      <formula>AND(AX$9&gt;=14/24,AX$9&lt;20/24)</formula>
    </cfRule>
    <cfRule type="expression" dxfId="2147" priority="399">
      <formula>AND(AX$9&gt;=8/24,AX$9&lt;14/24)</formula>
    </cfRule>
    <cfRule type="expression" dxfId="2146" priority="400">
      <formula>AX$9&lt;8/24</formula>
    </cfRule>
  </conditionalFormatting>
  <conditionalFormatting sqref="A115:A116">
    <cfRule type="expression" dxfId="2145" priority="352">
      <formula>$AH115=0</formula>
    </cfRule>
  </conditionalFormatting>
  <conditionalFormatting sqref="M54:AA59 AB54:AF57 E71:AF71">
    <cfRule type="expression" dxfId="2144" priority="348">
      <formula>E$9&gt;=20/24</formula>
    </cfRule>
    <cfRule type="expression" dxfId="2143" priority="349">
      <formula>AND(E$9&gt;=14/24,E$9&lt;20/24)</formula>
    </cfRule>
    <cfRule type="expression" dxfId="2142" priority="350">
      <formula>AND(E$9&gt;=8/24,E$9&lt;14/24)</formula>
    </cfRule>
    <cfRule type="expression" dxfId="2141" priority="351">
      <formula>E$9&lt;8/24</formula>
    </cfRule>
  </conditionalFormatting>
  <conditionalFormatting sqref="M53:AF53">
    <cfRule type="expression" dxfId="2140" priority="344">
      <formula>M$9&gt;=20/24</formula>
    </cfRule>
    <cfRule type="expression" dxfId="2139" priority="345">
      <formula>AND(M$9&gt;=14/24,M$9&lt;20/24)</formula>
    </cfRule>
    <cfRule type="expression" dxfId="2138" priority="346">
      <formula>AND(M$9&gt;=8/24,M$9&lt;14/24)</formula>
    </cfRule>
    <cfRule type="expression" dxfId="2137" priority="347">
      <formula>M$9&lt;8/24</formula>
    </cfRule>
  </conditionalFormatting>
  <conditionalFormatting sqref="M53:AA59 AB53:AF57">
    <cfRule type="expression" dxfId="2136" priority="343">
      <formula>M53&gt;$AG53</formula>
    </cfRule>
  </conditionalFormatting>
  <conditionalFormatting sqref="D86:AF86 X96:AF96 M100:X106 X47:AF47 Y67:AF69 E72:AF73 AB74:AF74 AE100:AF106">
    <cfRule type="expression" dxfId="2135" priority="339">
      <formula>D$9&gt;=20/24</formula>
    </cfRule>
    <cfRule type="expression" dxfId="2134" priority="340">
      <formula>AND(D$9&gt;=14/24,D$9&lt;20/24)</formula>
    </cfRule>
    <cfRule type="expression" dxfId="2133" priority="341">
      <formula>AND(D$9&gt;=8/24,D$9&lt;14/24)</formula>
    </cfRule>
    <cfRule type="expression" dxfId="2132" priority="342">
      <formula>D$9&lt;8/24</formula>
    </cfRule>
  </conditionalFormatting>
  <conditionalFormatting sqref="X47:AF47 Y67:AF69">
    <cfRule type="expression" dxfId="2131" priority="338">
      <formula>X47&gt;$AG47</formula>
    </cfRule>
  </conditionalFormatting>
  <conditionalFormatting sqref="C97:AF97 D88:AF88">
    <cfRule type="expression" dxfId="2130" priority="329">
      <formula>C$9&gt;=20/24</formula>
    </cfRule>
    <cfRule type="expression" dxfId="2129" priority="330">
      <formula>AND(C$9&gt;=14/24,C$9&lt;20/24)</formula>
    </cfRule>
    <cfRule type="expression" dxfId="2128" priority="331">
      <formula>AND(C$9&gt;=8/24,C$9&lt;14/24)</formula>
    </cfRule>
    <cfRule type="expression" dxfId="2127" priority="332">
      <formula>C$9&lt;8/24</formula>
    </cfRule>
  </conditionalFormatting>
  <conditionalFormatting sqref="T47:W47">
    <cfRule type="expression" dxfId="2126" priority="325">
      <formula>T$9&gt;=20/24</formula>
    </cfRule>
    <cfRule type="expression" dxfId="2125" priority="326">
      <formula>AND(T$9&gt;=14/24,T$9&lt;20/24)</formula>
    </cfRule>
    <cfRule type="expression" dxfId="2124" priority="327">
      <formula>AND(T$9&gt;=8/24,T$9&lt;14/24)</formula>
    </cfRule>
    <cfRule type="expression" dxfId="2123" priority="328">
      <formula>T$9&lt;8/24</formula>
    </cfRule>
  </conditionalFormatting>
  <conditionalFormatting sqref="T47:W47">
    <cfRule type="expression" dxfId="2122" priority="324">
      <formula>T47&gt;$AG47</formula>
    </cfRule>
  </conditionalFormatting>
  <conditionalFormatting sqref="E54:L55">
    <cfRule type="expression" dxfId="2121" priority="320">
      <formula>E$9&gt;=20/24</formula>
    </cfRule>
    <cfRule type="expression" dxfId="2120" priority="321">
      <formula>AND(E$9&gt;=14/24,E$9&lt;20/24)</formula>
    </cfRule>
    <cfRule type="expression" dxfId="2119" priority="322">
      <formula>AND(E$9&gt;=8/24,E$9&lt;14/24)</formula>
    </cfRule>
    <cfRule type="expression" dxfId="2118" priority="323">
      <formula>E$9&lt;8/24</formula>
    </cfRule>
  </conditionalFormatting>
  <conditionalFormatting sqref="E53:L53">
    <cfRule type="expression" dxfId="2117" priority="316">
      <formula>E$9&gt;=20/24</formula>
    </cfRule>
    <cfRule type="expression" dxfId="2116" priority="317">
      <formula>AND(E$9&gt;=14/24,E$9&lt;20/24)</formula>
    </cfRule>
    <cfRule type="expression" dxfId="2115" priority="318">
      <formula>AND(E$9&gt;=8/24,E$9&lt;14/24)</formula>
    </cfRule>
    <cfRule type="expression" dxfId="2114" priority="319">
      <formula>E$9&lt;8/24</formula>
    </cfRule>
  </conditionalFormatting>
  <conditionalFormatting sqref="E53:L55">
    <cfRule type="expression" dxfId="2113" priority="315">
      <formula>E53&gt;$AG53</formula>
    </cfRule>
  </conditionalFormatting>
  <conditionalFormatting sqref="AG70 AG87 F100:L106 Q67:X69">
    <cfRule type="expression" dxfId="2112" priority="311">
      <formula>F$9&gt;=20/24</formula>
    </cfRule>
    <cfRule type="expression" dxfId="2111" priority="312">
      <formula>AND(F$9&gt;=14/24,F$9&lt;20/24)</formula>
    </cfRule>
    <cfRule type="expression" dxfId="2110" priority="313">
      <formula>AND(F$9&gt;=8/24,F$9&lt;14/24)</formula>
    </cfRule>
    <cfRule type="expression" dxfId="2109" priority="314">
      <formula>F$9&lt;8/24</formula>
    </cfRule>
  </conditionalFormatting>
  <conditionalFormatting sqref="AG48 AG66 AG70 Q67:X69">
    <cfRule type="expression" dxfId="2108" priority="310">
      <formula>Q48&gt;$AG48</formula>
    </cfRule>
  </conditionalFormatting>
  <conditionalFormatting sqref="AB58:AF58">
    <cfRule type="expression" dxfId="2107" priority="306">
      <formula>AB$9&gt;=20/24</formula>
    </cfRule>
    <cfRule type="expression" dxfId="2106" priority="307">
      <formula>AND(AB$9&gt;=14/24,AB$9&lt;20/24)</formula>
    </cfRule>
    <cfRule type="expression" dxfId="2105" priority="308">
      <formula>AND(AB$9&gt;=8/24,AB$9&lt;14/24)</formula>
    </cfRule>
    <cfRule type="expression" dxfId="2104" priority="309">
      <formula>AB$9&lt;8/24</formula>
    </cfRule>
  </conditionalFormatting>
  <conditionalFormatting sqref="AB58:AF58">
    <cfRule type="expression" dxfId="2103" priority="305">
      <formula>AB58&gt;$AG58</formula>
    </cfRule>
  </conditionalFormatting>
  <conditionalFormatting sqref="A43">
    <cfRule type="expression" dxfId="2102" priority="304">
      <formula>$AH43=0</formula>
    </cfRule>
  </conditionalFormatting>
  <conditionalFormatting sqref="X91:AF95">
    <cfRule type="expression" dxfId="2101" priority="300">
      <formula>X$9&gt;=20/24</formula>
    </cfRule>
    <cfRule type="expression" dxfId="2100" priority="301">
      <formula>AND(X$9&gt;=14/24,X$9&lt;20/24)</formula>
    </cfRule>
    <cfRule type="expression" dxfId="2099" priority="302">
      <formula>AND(X$9&gt;=8/24,X$9&lt;14/24)</formula>
    </cfRule>
    <cfRule type="expression" dxfId="2098" priority="303">
      <formula>X$9&lt;8/24</formula>
    </cfRule>
  </conditionalFormatting>
  <conditionalFormatting sqref="AL45 AL41 AL22:AL32 AL38:AL39 AL7:AL15 AL17:AL20 AL34:AL36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2097" priority="296">
      <formula>E$9&gt;=20/24</formula>
    </cfRule>
    <cfRule type="expression" dxfId="2096" priority="297">
      <formula>AND(E$9&gt;=14/24,E$9&lt;20/24)</formula>
    </cfRule>
    <cfRule type="expression" dxfId="2095" priority="298">
      <formula>AND(E$9&gt;=8/24,E$9&lt;14/24)</formula>
    </cfRule>
    <cfRule type="expression" dxfId="2094" priority="299">
      <formula>E$9&lt;8/24</formula>
    </cfRule>
  </conditionalFormatting>
  <conditionalFormatting sqref="E49:AF51">
    <cfRule type="expression" dxfId="2093" priority="295">
      <formula>E49&gt;$AG49</formula>
    </cfRule>
  </conditionalFormatting>
  <conditionalFormatting sqref="AG52">
    <cfRule type="expression" dxfId="2092" priority="291">
      <formula>AG$9&gt;=20/24</formula>
    </cfRule>
    <cfRule type="expression" dxfId="2091" priority="292">
      <formula>AND(AG$9&gt;=14/24,AG$9&lt;20/24)</formula>
    </cfRule>
    <cfRule type="expression" dxfId="2090" priority="293">
      <formula>AND(AG$9&gt;=8/24,AG$9&lt;14/24)</formula>
    </cfRule>
    <cfRule type="expression" dxfId="2089" priority="294">
      <formula>AG$9&lt;8/24</formula>
    </cfRule>
  </conditionalFormatting>
  <conditionalFormatting sqref="AG52">
    <cfRule type="expression" dxfId="2088" priority="290">
      <formula>AG52&gt;$AG52</formula>
    </cfRule>
  </conditionalFormatting>
  <conditionalFormatting sqref="C107:AF107">
    <cfRule type="expression" dxfId="2087" priority="286">
      <formula>C$9&gt;=20/24</formula>
    </cfRule>
    <cfRule type="expression" dxfId="2086" priority="287">
      <formula>AND(C$9&gt;=14/24,C$9&lt;20/24)</formula>
    </cfRule>
    <cfRule type="expression" dxfId="2085" priority="288">
      <formula>AND(C$9&gt;=8/24,C$9&lt;14/24)</formula>
    </cfRule>
    <cfRule type="expression" dxfId="2084" priority="289">
      <formula>C$9&lt;8/24</formula>
    </cfRule>
  </conditionalFormatting>
  <conditionalFormatting sqref="AL40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083" priority="284">
      <formula>$AH40=0</formula>
    </cfRule>
  </conditionalFormatting>
  <conditionalFormatting sqref="A90">
    <cfRule type="expression" dxfId="2082" priority="282">
      <formula>$AH90=0</formula>
    </cfRule>
  </conditionalFormatting>
  <conditionalFormatting sqref="A87">
    <cfRule type="expression" dxfId="2081" priority="283">
      <formula>$AH87=0</formula>
    </cfRule>
  </conditionalFormatting>
  <conditionalFormatting sqref="D110:AF110">
    <cfRule type="expression" dxfId="2080" priority="278">
      <formula>D$9&gt;=20/24</formula>
    </cfRule>
    <cfRule type="expression" dxfId="2079" priority="279">
      <formula>AND(D$9&gt;=14/24,D$9&lt;20/24)</formula>
    </cfRule>
    <cfRule type="expression" dxfId="2078" priority="280">
      <formula>AND(D$9&gt;=8/24,D$9&lt;14/24)</formula>
    </cfRule>
    <cfRule type="expression" dxfId="2077" priority="281">
      <formula>D$9&lt;8/24</formula>
    </cfRule>
  </conditionalFormatting>
  <conditionalFormatting sqref="A110">
    <cfRule type="expression" dxfId="2076" priority="277">
      <formula>$AH110=0</formula>
    </cfRule>
  </conditionalFormatting>
  <conditionalFormatting sqref="A21">
    <cfRule type="expression" dxfId="2075" priority="275">
      <formula>$AH21=0</formula>
    </cfRule>
  </conditionalFormatting>
  <conditionalFormatting sqref="AL2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074" priority="273">
      <formula>$AH37=0</formula>
    </cfRule>
  </conditionalFormatting>
  <conditionalFormatting sqref="AL37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2073" priority="269">
      <formula>Y$9&gt;=20/24</formula>
    </cfRule>
    <cfRule type="expression" dxfId="2072" priority="270">
      <formula>AND(Y$9&gt;=14/24,Y$9&lt;20/24)</formula>
    </cfRule>
    <cfRule type="expression" dxfId="2071" priority="271">
      <formula>AND(Y$9&gt;=8/24,Y$9&lt;14/24)</formula>
    </cfRule>
    <cfRule type="expression" dxfId="2070" priority="272">
      <formula>Y$9&lt;8/24</formula>
    </cfRule>
  </conditionalFormatting>
  <conditionalFormatting sqref="Y100:AD106">
    <cfRule type="expression" dxfId="2069" priority="265">
      <formula>Y$9&gt;=20/24</formula>
    </cfRule>
    <cfRule type="expression" dxfId="2068" priority="266">
      <formula>AND(Y$9&gt;=14/24,Y$9&lt;20/24)</formula>
    </cfRule>
    <cfRule type="expression" dxfId="2067" priority="267">
      <formula>AND(Y$9&gt;=8/24,Y$9&lt;14/24)</formula>
    </cfRule>
    <cfRule type="expression" dxfId="2066" priority="268">
      <formula>Y$9&lt;8/24</formula>
    </cfRule>
  </conditionalFormatting>
  <conditionalFormatting sqref="C109 C111:C116">
    <cfRule type="expression" dxfId="2065" priority="261">
      <formula>C$9&gt;=20/24</formula>
    </cfRule>
    <cfRule type="expression" dxfId="2064" priority="262">
      <formula>AND(C$9&gt;=14/24,C$9&lt;20/24)</formula>
    </cfRule>
    <cfRule type="expression" dxfId="2063" priority="263">
      <formula>AND(C$9&gt;=8/24,C$9&lt;14/24)</formula>
    </cfRule>
    <cfRule type="expression" dxfId="2062" priority="264">
      <formula>C$9&lt;8/24</formula>
    </cfRule>
  </conditionalFormatting>
  <conditionalFormatting sqref="C47:S47">
    <cfRule type="expression" dxfId="2061" priority="257">
      <formula>C$9&gt;=20/24</formula>
    </cfRule>
    <cfRule type="expression" dxfId="2060" priority="258">
      <formula>AND(C$9&gt;=14/24,C$9&lt;20/24)</formula>
    </cfRule>
    <cfRule type="expression" dxfId="2059" priority="259">
      <formula>AND(C$9&gt;=8/24,C$9&lt;14/24)</formula>
    </cfRule>
    <cfRule type="expression" dxfId="2058" priority="260">
      <formula>C$9&lt;8/24</formula>
    </cfRule>
  </conditionalFormatting>
  <conditionalFormatting sqref="C47:S47">
    <cfRule type="expression" dxfId="2057" priority="256">
      <formula>C47&gt;$AG47</formula>
    </cfRule>
  </conditionalFormatting>
  <conditionalFormatting sqref="C99:E99">
    <cfRule type="expression" dxfId="2056" priority="252">
      <formula>C$9&gt;=20/24</formula>
    </cfRule>
    <cfRule type="expression" dxfId="2055" priority="253">
      <formula>AND(C$9&gt;=14/24,C$9&lt;20/24)</formula>
    </cfRule>
    <cfRule type="expression" dxfId="2054" priority="254">
      <formula>AND(C$9&gt;=8/24,C$9&lt;14/24)</formula>
    </cfRule>
    <cfRule type="expression" dxfId="2053" priority="255">
      <formula>C$9&lt;8/24</formula>
    </cfRule>
  </conditionalFormatting>
  <conditionalFormatting sqref="C86 C96:W96 C83:AF85 C100:E106 G67:P69 E74:AA76 AB75:AF76">
    <cfRule type="expression" dxfId="2052" priority="239">
      <formula>C$9&gt;=20/24</formula>
    </cfRule>
    <cfRule type="expression" dxfId="2051" priority="240">
      <formula>AND(C$9&gt;=14/24,C$9&lt;20/24)</formula>
    </cfRule>
    <cfRule type="expression" dxfId="2050" priority="241">
      <formula>AND(C$9&gt;=8/24,C$9&lt;14/24)</formula>
    </cfRule>
    <cfRule type="expression" dxfId="2049" priority="242">
      <formula>C$9&lt;8/24</formula>
    </cfRule>
  </conditionalFormatting>
  <conditionalFormatting sqref="E56:L57 G67:P69">
    <cfRule type="expression" dxfId="2048" priority="238">
      <formula>E56&gt;$AG56</formula>
    </cfRule>
  </conditionalFormatting>
  <conditionalFormatting sqref="E58:L58">
    <cfRule type="expression" dxfId="2047" priority="234">
      <formula>E$9&gt;=20/24</formula>
    </cfRule>
    <cfRule type="expression" dxfId="2046" priority="235">
      <formula>AND(E$9&gt;=14/24,E$9&lt;20/24)</formula>
    </cfRule>
    <cfRule type="expression" dxfId="2045" priority="236">
      <formula>AND(E$9&gt;=8/24,E$9&lt;14/24)</formula>
    </cfRule>
    <cfRule type="expression" dxfId="2044" priority="237">
      <formula>E$9&lt;8/24</formula>
    </cfRule>
  </conditionalFormatting>
  <conditionalFormatting sqref="E58:L58">
    <cfRule type="expression" dxfId="2043" priority="233">
      <formula>E58&gt;$AG58</formula>
    </cfRule>
  </conditionalFormatting>
  <conditionalFormatting sqref="B54:D57 B71:D71">
    <cfRule type="expression" dxfId="2042" priority="152">
      <formula>B$9&gt;=20/24</formula>
    </cfRule>
    <cfRule type="expression" dxfId="2041" priority="153">
      <formula>AND(B$9&gt;=14/24,B$9&lt;20/24)</formula>
    </cfRule>
    <cfRule type="expression" dxfId="2040" priority="154">
      <formula>AND(B$9&gt;=8/24,B$9&lt;14/24)</formula>
    </cfRule>
    <cfRule type="expression" dxfId="2039" priority="155">
      <formula>B$9&lt;8/24</formula>
    </cfRule>
  </conditionalFormatting>
  <conditionalFormatting sqref="E46:AF46">
    <cfRule type="expression" dxfId="2038" priority="229">
      <formula>E$9&gt;=20/24</formula>
    </cfRule>
    <cfRule type="expression" dxfId="2037" priority="230">
      <formula>AND(E$9&gt;=14/24,E$9&lt;20/24)</formula>
    </cfRule>
    <cfRule type="expression" dxfId="2036" priority="231">
      <formula>AND(E$9&gt;=8/24,E$9&lt;14/24)</formula>
    </cfRule>
    <cfRule type="expression" dxfId="2035" priority="232">
      <formula>E$9&lt;8/24</formula>
    </cfRule>
  </conditionalFormatting>
  <conditionalFormatting sqref="E46:AF46">
    <cfRule type="expression" dxfId="2034" priority="228">
      <formula>E46&gt;$AG46</formula>
    </cfRule>
  </conditionalFormatting>
  <conditionalFormatting sqref="C70:AF70 C87:AF87 C89:AF89 C98:AF98">
    <cfRule type="expression" dxfId="2033" priority="224">
      <formula>C$9&gt;=20/24</formula>
    </cfRule>
    <cfRule type="expression" dxfId="2032" priority="225">
      <formula>AND(C$9&gt;=14/24,C$9&lt;20/24)</formula>
    </cfRule>
    <cfRule type="expression" dxfId="2031" priority="226">
      <formula>AND(C$9&gt;=8/24,C$9&lt;14/24)</formula>
    </cfRule>
    <cfRule type="expression" dxfId="2030" priority="227">
      <formula>C$9&lt;8/24</formula>
    </cfRule>
  </conditionalFormatting>
  <conditionalFormatting sqref="C48:AF48 C65:AF66 C70:AF70">
    <cfRule type="expression" dxfId="2029" priority="223">
      <formula>C48&gt;$AG48</formula>
    </cfRule>
  </conditionalFormatting>
  <conditionalFormatting sqref="C82:AF82">
    <cfRule type="expression" dxfId="2028" priority="219">
      <formula>C$9&gt;=20/24</formula>
    </cfRule>
    <cfRule type="expression" dxfId="2027" priority="220">
      <formula>AND(C$9&gt;=14/24,C$9&lt;20/24)</formula>
    </cfRule>
    <cfRule type="expression" dxfId="2026" priority="221">
      <formula>AND(C$9&gt;=8/24,C$9&lt;14/24)</formula>
    </cfRule>
    <cfRule type="expression" dxfId="2025" priority="222">
      <formula>C$9&lt;8/24</formula>
    </cfRule>
  </conditionalFormatting>
  <conditionalFormatting sqref="C91:W95">
    <cfRule type="expression" dxfId="2024" priority="215">
      <formula>C$9&gt;=20/24</formula>
    </cfRule>
    <cfRule type="expression" dxfId="2023" priority="216">
      <formula>AND(C$9&gt;=14/24,C$9&lt;20/24)</formula>
    </cfRule>
    <cfRule type="expression" dxfId="2022" priority="217">
      <formula>AND(C$9&gt;=8/24,C$9&lt;14/24)</formula>
    </cfRule>
    <cfRule type="expression" dxfId="2021" priority="218">
      <formula>C$9&lt;8/24</formula>
    </cfRule>
  </conditionalFormatting>
  <conditionalFormatting sqref="C52:AF52">
    <cfRule type="expression" dxfId="2020" priority="206">
      <formula>C$9&gt;=20/24</formula>
    </cfRule>
    <cfRule type="expression" dxfId="2019" priority="207">
      <formula>AND(C$9&gt;=14/24,C$9&lt;20/24)</formula>
    </cfRule>
    <cfRule type="expression" dxfId="2018" priority="208">
      <formula>AND(C$9&gt;=8/24,C$9&lt;14/24)</formula>
    </cfRule>
    <cfRule type="expression" dxfId="2017" priority="209">
      <formula>C$9&lt;8/24</formula>
    </cfRule>
  </conditionalFormatting>
  <conditionalFormatting sqref="C52:AF52">
    <cfRule type="expression" dxfId="2016" priority="205">
      <formula>C52&gt;$AG52</formula>
    </cfRule>
  </conditionalFormatting>
  <conditionalFormatting sqref="B49:D51">
    <cfRule type="expression" dxfId="2015" priority="120">
      <formula>B$9&gt;=20/24</formula>
    </cfRule>
    <cfRule type="expression" dxfId="2014" priority="121">
      <formula>AND(B$9&gt;=14/24,B$9&lt;20/24)</formula>
    </cfRule>
    <cfRule type="expression" dxfId="2013" priority="122">
      <formula>AND(B$9&gt;=8/24,B$9&lt;14/24)</formula>
    </cfRule>
    <cfRule type="expression" dxfId="2012" priority="123">
      <formula>B$9&lt;8/24</formula>
    </cfRule>
  </conditionalFormatting>
  <conditionalFormatting sqref="C110">
    <cfRule type="expression" dxfId="2011" priority="197">
      <formula>C$9&gt;=20/24</formula>
    </cfRule>
    <cfRule type="expression" dxfId="2010" priority="198">
      <formula>AND(C$9&gt;=14/24,C$9&lt;20/24)</formula>
    </cfRule>
    <cfRule type="expression" dxfId="2009" priority="199">
      <formula>AND(C$9&gt;=8/24,C$9&lt;14/24)</formula>
    </cfRule>
    <cfRule type="expression" dxfId="2008" priority="200">
      <formula>C$9&lt;8/24</formula>
    </cfRule>
  </conditionalFormatting>
  <conditionalFormatting sqref="E59:L59 AB59:AF64">
    <cfRule type="expression" dxfId="2007" priority="193">
      <formula>E$9&gt;=20/24</formula>
    </cfRule>
    <cfRule type="expression" dxfId="2006" priority="194">
      <formula>AND(E$9&gt;=14/24,E$9&lt;20/24)</formula>
    </cfRule>
    <cfRule type="expression" dxfId="2005" priority="195">
      <formula>AND(E$9&gt;=8/24,E$9&lt;14/24)</formula>
    </cfRule>
    <cfRule type="expression" dxfId="2004" priority="196">
      <formula>E$9&lt;8/24</formula>
    </cfRule>
  </conditionalFormatting>
  <conditionalFormatting sqref="E59:L59 AB59:AF64">
    <cfRule type="expression" dxfId="2003" priority="192">
      <formula>E59&gt;$AG59</formula>
    </cfRule>
  </conditionalFormatting>
  <conditionalFormatting sqref="E77:AF81">
    <cfRule type="expression" dxfId="2002" priority="174">
      <formula>E$9&gt;=20/24</formula>
    </cfRule>
    <cfRule type="expression" dxfId="2001" priority="175">
      <formula>AND(E$9&gt;=14/24,E$9&lt;20/24)</formula>
    </cfRule>
    <cfRule type="expression" dxfId="2000" priority="176">
      <formula>AND(E$9&gt;=8/24,E$9&lt;14/24)</formula>
    </cfRule>
    <cfRule type="expression" dxfId="1999" priority="177">
      <formula>E$9&lt;8/24</formula>
    </cfRule>
  </conditionalFormatting>
  <conditionalFormatting sqref="AL78:AN78 AL84:AN84 AN79:AN80">
    <cfRule type="expression" dxfId="1998" priority="170">
      <formula>AL$9&gt;=20/24</formula>
    </cfRule>
    <cfRule type="expression" dxfId="1997" priority="171">
      <formula>AND(AL$9&gt;=14/24,AL$9&lt;20/24)</formula>
    </cfRule>
    <cfRule type="expression" dxfId="1996" priority="172">
      <formula>AND(AL$9&gt;=8/24,AL$9&lt;14/24)</formula>
    </cfRule>
    <cfRule type="expression" dxfId="1995" priority="173">
      <formula>AL$9&lt;8/24</formula>
    </cfRule>
  </conditionalFormatting>
  <conditionalFormatting sqref="AN81:AN82">
    <cfRule type="expression" dxfId="1994" priority="166">
      <formula>AN$9&gt;=20/24</formula>
    </cfRule>
    <cfRule type="expression" dxfId="1993" priority="167">
      <formula>AND(AN$9&gt;=14/24,AN$9&lt;20/24)</formula>
    </cfRule>
    <cfRule type="expression" dxfId="1992" priority="168">
      <formula>AND(AN$9&gt;=8/24,AN$9&lt;14/24)</formula>
    </cfRule>
    <cfRule type="expression" dxfId="1991" priority="169">
      <formula>AN$9&lt;8/24</formula>
    </cfRule>
  </conditionalFormatting>
  <conditionalFormatting sqref="AL79:AM83">
    <cfRule type="expression" dxfId="1990" priority="402">
      <formula>AJ$9&gt;=20/24</formula>
    </cfRule>
    <cfRule type="expression" dxfId="1989" priority="403">
      <formula>AND(AJ$9&gt;=14/24,AJ$9&lt;20/24)</formula>
    </cfRule>
    <cfRule type="expression" dxfId="1988" priority="404">
      <formula>AND(AJ$9&gt;=8/24,AJ$9&lt;14/24)</formula>
    </cfRule>
    <cfRule type="expression" dxfId="1987" priority="405">
      <formula>AJ$9&lt;8/24</formula>
    </cfRule>
  </conditionalFormatting>
  <conditionalFormatting sqref="A117">
    <cfRule type="expression" dxfId="1986" priority="165">
      <formula>$AH117=0</formula>
    </cfRule>
  </conditionalFormatting>
  <conditionalFormatting sqref="B109 B111:B116 B34:AF43 B45:AF45 B12:AF15 B17:AF32">
    <cfRule type="expression" dxfId="1985" priority="161">
      <formula>B$9&gt;=20/24</formula>
    </cfRule>
    <cfRule type="expression" dxfId="1984" priority="162">
      <formula>AND(B$9&gt;=14/24,B$9&lt;20/24)</formula>
    </cfRule>
    <cfRule type="expression" dxfId="1983" priority="163">
      <formula>AND(B$9&gt;=8/24,B$9&lt;14/24)</formula>
    </cfRule>
    <cfRule type="expression" dxfId="1982" priority="164">
      <formula>B$9&lt;8/24</formula>
    </cfRule>
  </conditionalFormatting>
  <conditionalFormatting sqref="B34:AF43 B45:AF45 B12:AF15 B17:AF32">
    <cfRule type="expression" dxfId="1981" priority="160">
      <formula>B12&gt;$AG12</formula>
    </cfRule>
  </conditionalFormatting>
  <conditionalFormatting sqref="B99">
    <cfRule type="expression" dxfId="1980" priority="156">
      <formula>B$9&gt;=20/24</formula>
    </cfRule>
    <cfRule type="expression" dxfId="1979" priority="157">
      <formula>AND(B$9&gt;=14/24,B$9&lt;20/24)</formula>
    </cfRule>
    <cfRule type="expression" dxfId="1978" priority="158">
      <formula>AND(B$9&gt;=8/24,B$9&lt;14/24)</formula>
    </cfRule>
    <cfRule type="expression" dxfId="1977" priority="159">
      <formula>B$9&lt;8/24</formula>
    </cfRule>
  </conditionalFormatting>
  <conditionalFormatting sqref="B53:D53">
    <cfRule type="expression" dxfId="1976" priority="148">
      <formula>B$9&gt;=20/24</formula>
    </cfRule>
    <cfRule type="expression" dxfId="1975" priority="149">
      <formula>AND(B$9&gt;=14/24,B$9&lt;20/24)</formula>
    </cfRule>
    <cfRule type="expression" dxfId="1974" priority="150">
      <formula>AND(B$9&gt;=8/24,B$9&lt;14/24)</formula>
    </cfRule>
    <cfRule type="expression" dxfId="1973" priority="151">
      <formula>B$9&lt;8/24</formula>
    </cfRule>
  </conditionalFormatting>
  <conditionalFormatting sqref="B53:D57">
    <cfRule type="expression" dxfId="1972" priority="147">
      <formula>B53&gt;$AG53</formula>
    </cfRule>
  </conditionalFormatting>
  <conditionalFormatting sqref="B96 B100:B106 B86 B47 B72:D74 B67:F69">
    <cfRule type="expression" dxfId="1971" priority="143">
      <formula>B$9&gt;=20/24</formula>
    </cfRule>
    <cfRule type="expression" dxfId="1970" priority="144">
      <formula>AND(B$9&gt;=14/24,B$9&lt;20/24)</formula>
    </cfRule>
    <cfRule type="expression" dxfId="1969" priority="145">
      <formula>AND(B$9&gt;=8/24,B$9&lt;14/24)</formula>
    </cfRule>
    <cfRule type="expression" dxfId="1968" priority="146">
      <formula>B$9&lt;8/24</formula>
    </cfRule>
  </conditionalFormatting>
  <conditionalFormatting sqref="B47 B67:F69">
    <cfRule type="expression" dxfId="1967" priority="142">
      <formula>B47&gt;$AG47</formula>
    </cfRule>
  </conditionalFormatting>
  <conditionalFormatting sqref="B97 B88:C88">
    <cfRule type="expression" dxfId="1966" priority="138">
      <formula>B$9&gt;=20/24</formula>
    </cfRule>
    <cfRule type="expression" dxfId="1965" priority="139">
      <formula>AND(B$9&gt;=14/24,B$9&lt;20/24)</formula>
    </cfRule>
    <cfRule type="expression" dxfId="1964" priority="140">
      <formula>AND(B$9&gt;=8/24,B$9&lt;14/24)</formula>
    </cfRule>
    <cfRule type="expression" dxfId="1963" priority="141">
      <formula>B$9&lt;8/24</formula>
    </cfRule>
  </conditionalFormatting>
  <conditionalFormatting sqref="B46:D46">
    <cfRule type="expression" dxfId="1962" priority="134">
      <formula>B$9&gt;=20/24</formula>
    </cfRule>
    <cfRule type="expression" dxfId="1961" priority="135">
      <formula>AND(B$9&gt;=14/24,B$9&lt;20/24)</formula>
    </cfRule>
    <cfRule type="expression" dxfId="1960" priority="136">
      <formula>AND(B$9&gt;=8/24,B$9&lt;14/24)</formula>
    </cfRule>
    <cfRule type="expression" dxfId="1959" priority="137">
      <formula>B$9&lt;8/24</formula>
    </cfRule>
  </conditionalFormatting>
  <conditionalFormatting sqref="B46:D46">
    <cfRule type="expression" dxfId="1958" priority="133">
      <formula>B46&gt;$AG46</formula>
    </cfRule>
  </conditionalFormatting>
  <conditionalFormatting sqref="B58:D58">
    <cfRule type="expression" dxfId="1957" priority="129">
      <formula>B$9&gt;=20/24</formula>
    </cfRule>
    <cfRule type="expression" dxfId="1956" priority="130">
      <formula>AND(B$9&gt;=14/24,B$9&lt;20/24)</formula>
    </cfRule>
    <cfRule type="expression" dxfId="1955" priority="131">
      <formula>AND(B$9&gt;=8/24,B$9&lt;14/24)</formula>
    </cfRule>
    <cfRule type="expression" dxfId="1954" priority="132">
      <formula>B$9&lt;8/24</formula>
    </cfRule>
  </conditionalFormatting>
  <conditionalFormatting sqref="B58:D58">
    <cfRule type="expression" dxfId="1953" priority="128">
      <formula>B58&gt;$AG58</formula>
    </cfRule>
  </conditionalFormatting>
  <conditionalFormatting sqref="B91:B95">
    <cfRule type="expression" dxfId="1952" priority="124">
      <formula>B$9&gt;=20/24</formula>
    </cfRule>
    <cfRule type="expression" dxfId="1951" priority="125">
      <formula>AND(B$9&gt;=14/24,B$9&lt;20/24)</formula>
    </cfRule>
    <cfRule type="expression" dxfId="1950" priority="126">
      <formula>AND(B$9&gt;=8/24,B$9&lt;14/24)</formula>
    </cfRule>
    <cfRule type="expression" dxfId="1949" priority="127">
      <formula>B$9&lt;8/24</formula>
    </cfRule>
  </conditionalFormatting>
  <conditionalFormatting sqref="B49:D51">
    <cfRule type="expression" dxfId="1948" priority="119">
      <formula>B49&gt;$AG49</formula>
    </cfRule>
  </conditionalFormatting>
  <conditionalFormatting sqref="B107">
    <cfRule type="expression" dxfId="1947" priority="115">
      <formula>B$9&gt;=20/24</formula>
    </cfRule>
    <cfRule type="expression" dxfId="1946" priority="116">
      <formula>AND(B$9&gt;=14/24,B$9&lt;20/24)</formula>
    </cfRule>
    <cfRule type="expression" dxfId="1945" priority="117">
      <formula>AND(B$9&gt;=8/24,B$9&lt;14/24)</formula>
    </cfRule>
    <cfRule type="expression" dxfId="1944" priority="118">
      <formula>B$9&lt;8/24</formula>
    </cfRule>
  </conditionalFormatting>
  <conditionalFormatting sqref="B110">
    <cfRule type="expression" dxfId="1943" priority="111">
      <formula>B$9&gt;=20/24</formula>
    </cfRule>
    <cfRule type="expression" dxfId="1942" priority="112">
      <formula>AND(B$9&gt;=14/24,B$9&lt;20/24)</formula>
    </cfRule>
    <cfRule type="expression" dxfId="1941" priority="113">
      <formula>AND(B$9&gt;=8/24,B$9&lt;14/24)</formula>
    </cfRule>
    <cfRule type="expression" dxfId="1940" priority="114">
      <formula>B$9&lt;8/24</formula>
    </cfRule>
  </conditionalFormatting>
  <conditionalFormatting sqref="B83:B85 B75:D76">
    <cfRule type="expression" dxfId="1939" priority="107">
      <formula>B$9&gt;=20/24</formula>
    </cfRule>
    <cfRule type="expression" dxfId="1938" priority="108">
      <formula>AND(B$9&gt;=14/24,B$9&lt;20/24)</formula>
    </cfRule>
    <cfRule type="expression" dxfId="1937" priority="109">
      <formula>AND(B$9&gt;=8/24,B$9&lt;14/24)</formula>
    </cfRule>
    <cfRule type="expression" dxfId="1936" priority="110">
      <formula>B$9&lt;8/24</formula>
    </cfRule>
  </conditionalFormatting>
  <conditionalFormatting sqref="B89 B98 B70 B87">
    <cfRule type="expression" dxfId="1935" priority="103">
      <formula>B$9&gt;=20/24</formula>
    </cfRule>
    <cfRule type="expression" dxfId="1934" priority="104">
      <formula>AND(B$9&gt;=14/24,B$9&lt;20/24)</formula>
    </cfRule>
    <cfRule type="expression" dxfId="1933" priority="105">
      <formula>AND(B$9&gt;=8/24,B$9&lt;14/24)</formula>
    </cfRule>
    <cfRule type="expression" dxfId="1932" priority="106">
      <formula>B$9&lt;8/24</formula>
    </cfRule>
  </conditionalFormatting>
  <conditionalFormatting sqref="B48 B65:B66 B70">
    <cfRule type="expression" dxfId="1931" priority="102">
      <formula>B48&gt;$AG48</formula>
    </cfRule>
  </conditionalFormatting>
  <conditionalFormatting sqref="B82">
    <cfRule type="expression" dxfId="1930" priority="98">
      <formula>B$9&gt;=20/24</formula>
    </cfRule>
    <cfRule type="expression" dxfId="1929" priority="99">
      <formula>AND(B$9&gt;=14/24,B$9&lt;20/24)</formula>
    </cfRule>
    <cfRule type="expression" dxfId="1928" priority="100">
      <formula>AND(B$9&gt;=8/24,B$9&lt;14/24)</formula>
    </cfRule>
    <cfRule type="expression" dxfId="1927" priority="101">
      <formula>B$9&lt;8/24</formula>
    </cfRule>
  </conditionalFormatting>
  <conditionalFormatting sqref="B52">
    <cfRule type="expression" dxfId="1926" priority="94">
      <formula>B$9&gt;=20/24</formula>
    </cfRule>
    <cfRule type="expression" dxfId="1925" priority="95">
      <formula>AND(B$9&gt;=14/24,B$9&lt;20/24)</formula>
    </cfRule>
    <cfRule type="expression" dxfId="1924" priority="96">
      <formula>AND(B$9&gt;=8/24,B$9&lt;14/24)</formula>
    </cfRule>
    <cfRule type="expression" dxfId="1923" priority="97">
      <formula>B$9&lt;8/24</formula>
    </cfRule>
  </conditionalFormatting>
  <conditionalFormatting sqref="B52">
    <cfRule type="expression" dxfId="1922" priority="93">
      <formula>B52&gt;$AG52</formula>
    </cfRule>
  </conditionalFormatting>
  <conditionalFormatting sqref="B59:D64 E60:AA64">
    <cfRule type="expression" dxfId="1921" priority="85">
      <formula>B$9&gt;=20/24</formula>
    </cfRule>
    <cfRule type="expression" dxfId="1920" priority="86">
      <formula>AND(B$9&gt;=14/24,B$9&lt;20/24)</formula>
    </cfRule>
    <cfRule type="expression" dxfId="1919" priority="87">
      <formula>AND(B$9&gt;=8/24,B$9&lt;14/24)</formula>
    </cfRule>
    <cfRule type="expression" dxfId="1918" priority="88">
      <formula>B$9&lt;8/24</formula>
    </cfRule>
  </conditionalFormatting>
  <conditionalFormatting sqref="B59:D64 E60:AA64">
    <cfRule type="expression" dxfId="1917" priority="84">
      <formula>B59&gt;$AG59</formula>
    </cfRule>
  </conditionalFormatting>
  <conditionalFormatting sqref="B77:D81">
    <cfRule type="expression" dxfId="1916" priority="80">
      <formula>B$9&gt;=20/24</formula>
    </cfRule>
    <cfRule type="expression" dxfId="1915" priority="81">
      <formula>AND(B$9&gt;=14/24,B$9&lt;20/24)</formula>
    </cfRule>
    <cfRule type="expression" dxfId="1914" priority="82">
      <formula>AND(B$9&gt;=8/24,B$9&lt;14/24)</formula>
    </cfRule>
    <cfRule type="expression" dxfId="1913" priority="83">
      <formula>B$9&lt;8/24</formula>
    </cfRule>
  </conditionalFormatting>
  <conditionalFormatting sqref="A11">
    <cfRule type="expression" dxfId="1912" priority="74">
      <formula>$AH11=0</formula>
    </cfRule>
  </conditionalFormatting>
  <conditionalFormatting sqref="B11:AF11">
    <cfRule type="expression" dxfId="1911" priority="65">
      <formula>B$9&gt;=20/24</formula>
    </cfRule>
    <cfRule type="expression" dxfId="1910" priority="66">
      <formula>AND(B$9&gt;=14/24,B$9&lt;20/24)</formula>
    </cfRule>
    <cfRule type="expression" dxfId="1909" priority="67">
      <formula>AND(B$9&gt;=8/24,B$9&lt;14/24)</formula>
    </cfRule>
    <cfRule type="expression" dxfId="1908" priority="68">
      <formula>B$9&lt;8/24</formula>
    </cfRule>
  </conditionalFormatting>
  <conditionalFormatting sqref="B11:AF11">
    <cfRule type="expression" dxfId="1907" priority="64">
      <formula>B11&gt;$AG11</formula>
    </cfRule>
  </conditionalFormatting>
  <conditionalFormatting sqref="A16">
    <cfRule type="expression" dxfId="1906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1905" priority="48">
      <formula>B$9&gt;=20/24</formula>
    </cfRule>
    <cfRule type="expression" dxfId="1904" priority="49">
      <formula>AND(B$9&gt;=14/24,B$9&lt;20/24)</formula>
    </cfRule>
    <cfRule type="expression" dxfId="1903" priority="50">
      <formula>AND(B$9&gt;=8/24,B$9&lt;14/24)</formula>
    </cfRule>
    <cfRule type="expression" dxfId="1902" priority="51">
      <formula>B$9&lt;8/24</formula>
    </cfRule>
  </conditionalFormatting>
  <conditionalFormatting sqref="B16:AF16">
    <cfRule type="expression" dxfId="1901" priority="47">
      <formula>B16&gt;$AG16</formula>
    </cfRule>
  </conditionalFormatting>
  <conditionalFormatting sqref="A33">
    <cfRule type="expression" dxfId="1900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1899" priority="31">
      <formula>B$9&gt;=20/24</formula>
    </cfRule>
    <cfRule type="expression" dxfId="1898" priority="32">
      <formula>AND(B$9&gt;=14/24,B$9&lt;20/24)</formula>
    </cfRule>
    <cfRule type="expression" dxfId="1897" priority="33">
      <formula>AND(B$9&gt;=8/24,B$9&lt;14/24)</formula>
    </cfRule>
    <cfRule type="expression" dxfId="1896" priority="34">
      <formula>B$9&lt;8/24</formula>
    </cfRule>
  </conditionalFormatting>
  <conditionalFormatting sqref="B33:AF33">
    <cfRule type="expression" dxfId="1895" priority="30">
      <formula>B33&gt;$AG33</formula>
    </cfRule>
  </conditionalFormatting>
  <conditionalFormatting sqref="A44">
    <cfRule type="expression" dxfId="1894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1893" priority="14">
      <formula>B$9&gt;=20/24</formula>
    </cfRule>
    <cfRule type="expression" dxfId="1892" priority="15">
      <formula>AND(B$9&gt;=14/24,B$9&lt;20/24)</formula>
    </cfRule>
    <cfRule type="expression" dxfId="1891" priority="16">
      <formula>AND(B$9&gt;=8/24,B$9&lt;14/24)</formula>
    </cfRule>
    <cfRule type="expression" dxfId="1890" priority="17">
      <formula>B$9&lt;8/24</formula>
    </cfRule>
  </conditionalFormatting>
  <conditionalFormatting sqref="B44:AF44">
    <cfRule type="expression" dxfId="1889" priority="13">
      <formula>B44&gt;$AG44</formula>
    </cfRule>
  </conditionalFormatting>
  <conditionalFormatting sqref="B117">
    <cfRule type="expression" dxfId="1888" priority="1">
      <formula>B$9&gt;=20/24</formula>
    </cfRule>
    <cfRule type="expression" dxfId="1887" priority="2">
      <formula>AND(B$9&gt;=14/24,B$9&lt;20/24)</formula>
    </cfRule>
    <cfRule type="expression" dxfId="1886" priority="3">
      <formula>AND(B$9&gt;=8/24,B$9&lt;14/24)</formula>
    </cfRule>
    <cfRule type="expression" dxfId="1885" priority="4">
      <formula>B$9&lt;8/24</formula>
    </cfRule>
  </conditionalFormatting>
  <conditionalFormatting sqref="D117:AF117">
    <cfRule type="expression" dxfId="1884" priority="9">
      <formula>D$9&gt;=20/24</formula>
    </cfRule>
    <cfRule type="expression" dxfId="1883" priority="10">
      <formula>AND(D$9&gt;=14/24,D$9&lt;20/24)</formula>
    </cfRule>
    <cfRule type="expression" dxfId="1882" priority="11">
      <formula>AND(D$9&gt;=8/24,D$9&lt;14/24)</formula>
    </cfRule>
    <cfRule type="expression" dxfId="1881" priority="12">
      <formula>D$9&lt;8/24</formula>
    </cfRule>
  </conditionalFormatting>
  <conditionalFormatting sqref="C117">
    <cfRule type="expression" dxfId="1880" priority="5">
      <formula>C$9&gt;=20/24</formula>
    </cfRule>
    <cfRule type="expression" dxfId="1879" priority="6">
      <formula>AND(C$9&gt;=14/24,C$9&lt;20/24)</formula>
    </cfRule>
    <cfRule type="expression" dxfId="1878" priority="7">
      <formula>AND(C$9&gt;=8/24,C$9&lt;14/24)</formula>
    </cfRule>
    <cfRule type="expression" dxfId="187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1ED7D070-BEEA-4412-A5EC-D915B39BD0B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E27204CE-D0A9-45EA-9470-48FF7351D36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B1E69AF4-0E2B-438B-8AFB-5E58B8239EA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1D56798D-DC67-4F5E-8343-357343AF595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34FB41C8-AC35-4B87-917F-C39CA138EB0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7CDBD9DC-FBBE-48F2-86A1-E75AAC2421C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76D853E6-FFEE-4F57-905C-307F42782E7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32B18FB3-329D-4FD3-B6E1-2C1A2D447CB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8"/>
  <sheetViews>
    <sheetView zoomScale="90" zoomScaleNormal="90" workbookViewId="0">
      <pane ySplit="10" topLeftCell="A100" activePane="bottomLeft" state="frozen"/>
      <selection activeCell="Z85" sqref="Z85"/>
      <selection pane="bottomLeft" activeCell="B73" sqref="B73:AF7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str">
        <f ca="1">"2079/"&amp;"11/"&amp;INT(MID(CELL("filename",D6),FIND("]",CELL("filename",D6))+1,200))</f>
        <v>2079/11/30</v>
      </c>
      <c r="C4" s="208"/>
      <c r="D4" s="208"/>
      <c r="E4" s="209" t="str">
        <f ca="1">"2079/"&amp;"11/"&amp;INT(MID(CELL("filename",G6),FIND("]",CELL("filename",G6))+1,200))</f>
        <v>2079/11/30</v>
      </c>
      <c r="F4" s="209"/>
      <c r="G4" s="209"/>
      <c r="H4" s="209" t="str">
        <f ca="1">TEXT(E4,"dddd")</f>
        <v>Thursday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558</v>
      </c>
      <c r="C5" s="30">
        <f t="shared" si="0"/>
        <v>489</v>
      </c>
      <c r="D5" s="30">
        <f t="shared" si="0"/>
        <v>545</v>
      </c>
      <c r="E5" s="30">
        <f t="shared" si="0"/>
        <v>559.19999999999993</v>
      </c>
      <c r="F5" s="30">
        <f t="shared" si="0"/>
        <v>587.70000000000005</v>
      </c>
      <c r="G5" s="30">
        <f t="shared" si="0"/>
        <v>542.9</v>
      </c>
      <c r="H5" s="30">
        <f t="shared" si="0"/>
        <v>535.5</v>
      </c>
      <c r="I5" s="30">
        <f t="shared" si="0"/>
        <v>500.6</v>
      </c>
      <c r="J5" s="30">
        <f t="shared" si="0"/>
        <v>494.1</v>
      </c>
      <c r="K5" s="30">
        <f t="shared" si="0"/>
        <v>508</v>
      </c>
      <c r="L5" s="30">
        <f t="shared" si="0"/>
        <v>520.20000000000005</v>
      </c>
      <c r="M5" s="30">
        <f t="shared" si="0"/>
        <v>553.30000000000007</v>
      </c>
      <c r="N5" s="30">
        <f t="shared" si="0"/>
        <v>566.79999999999995</v>
      </c>
      <c r="O5" s="30">
        <f t="shared" si="0"/>
        <v>469.9</v>
      </c>
      <c r="P5" s="30">
        <f t="shared" si="0"/>
        <v>574.79999999999995</v>
      </c>
      <c r="Q5" s="30">
        <f t="shared" si="0"/>
        <v>573.6</v>
      </c>
      <c r="R5" s="30">
        <f t="shared" si="0"/>
        <v>593.70000000000005</v>
      </c>
      <c r="S5" s="30">
        <f t="shared" si="0"/>
        <v>595.29999999999995</v>
      </c>
      <c r="T5" s="30">
        <f t="shared" si="0"/>
        <v>556.9</v>
      </c>
      <c r="U5" s="30">
        <f t="shared" si="0"/>
        <v>550</v>
      </c>
      <c r="V5" s="30">
        <f t="shared" si="0"/>
        <v>555</v>
      </c>
      <c r="W5" s="30">
        <f t="shared" si="0"/>
        <v>545.20000000000005</v>
      </c>
      <c r="X5" s="30">
        <f t="shared" si="0"/>
        <v>522</v>
      </c>
      <c r="Y5" s="30">
        <f t="shared" si="0"/>
        <v>544.69999999999993</v>
      </c>
      <c r="Z5" s="30">
        <f t="shared" si="0"/>
        <v>520</v>
      </c>
      <c r="AA5" s="30">
        <f t="shared" si="0"/>
        <v>525.80000000000007</v>
      </c>
      <c r="AB5" s="30">
        <f t="shared" si="0"/>
        <v>552.79999999999995</v>
      </c>
      <c r="AC5" s="30">
        <f t="shared" si="0"/>
        <v>547</v>
      </c>
      <c r="AD5" s="30">
        <f t="shared" si="0"/>
        <v>527.79999999999995</v>
      </c>
      <c r="AE5" s="30">
        <f t="shared" si="0"/>
        <v>539</v>
      </c>
      <c r="AF5" s="30">
        <f>B82</f>
        <v>568.70000000000005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Load=944</v>
      </c>
      <c r="B7" s="35">
        <f t="shared" ref="B7:AF7" si="1">B89</f>
        <v>1043.54</v>
      </c>
      <c r="C7" s="35">
        <f t="shared" si="1"/>
        <v>1032.8399999999999</v>
      </c>
      <c r="D7" s="35">
        <f t="shared" si="1"/>
        <v>943.83999999999992</v>
      </c>
      <c r="E7" s="35">
        <f t="shared" si="1"/>
        <v>999.54</v>
      </c>
      <c r="F7" s="35">
        <f t="shared" si="1"/>
        <v>1016.8399999999999</v>
      </c>
      <c r="G7" s="35">
        <f t="shared" si="1"/>
        <v>1045.6400000000001</v>
      </c>
      <c r="H7" s="35">
        <f t="shared" si="1"/>
        <v>1109.3400000000001</v>
      </c>
      <c r="I7" s="35">
        <f t="shared" si="1"/>
        <v>1158.1399999999999</v>
      </c>
      <c r="J7" s="35">
        <f t="shared" si="1"/>
        <v>1229.6399999999999</v>
      </c>
      <c r="K7" s="35">
        <f t="shared" si="1"/>
        <v>1326.24</v>
      </c>
      <c r="L7" s="35">
        <f t="shared" si="1"/>
        <v>1418.8389999999999</v>
      </c>
      <c r="M7" s="35">
        <f t="shared" si="1"/>
        <v>1408.1690000000001</v>
      </c>
      <c r="N7" s="35">
        <f>N89</f>
        <v>1340.739</v>
      </c>
      <c r="O7" s="35">
        <f t="shared" si="1"/>
        <v>1339.6189999999999</v>
      </c>
      <c r="P7" s="35">
        <f t="shared" si="1"/>
        <v>1290.9499999999998</v>
      </c>
      <c r="Q7" s="35">
        <f t="shared" si="1"/>
        <v>1363.3899999999999</v>
      </c>
      <c r="R7" s="35">
        <f t="shared" si="1"/>
        <v>1367.74</v>
      </c>
      <c r="S7" s="35">
        <f t="shared" si="1"/>
        <v>1373.3400000000001</v>
      </c>
      <c r="T7" s="35">
        <f t="shared" si="1"/>
        <v>1413.04</v>
      </c>
      <c r="U7" s="35">
        <f t="shared" si="1"/>
        <v>1394.34</v>
      </c>
      <c r="V7" s="35">
        <f t="shared" si="1"/>
        <v>1373.94</v>
      </c>
      <c r="W7" s="35">
        <f t="shared" si="1"/>
        <v>1299.24</v>
      </c>
      <c r="X7" s="35">
        <f t="shared" si="1"/>
        <v>1344.8400000000001</v>
      </c>
      <c r="Y7" s="35">
        <f t="shared" si="1"/>
        <v>1545.44</v>
      </c>
      <c r="Z7" s="35">
        <f t="shared" si="1"/>
        <v>1601.7399999999998</v>
      </c>
      <c r="AA7" s="35">
        <f t="shared" si="1"/>
        <v>1495.94</v>
      </c>
      <c r="AB7" s="35">
        <f t="shared" si="1"/>
        <v>1388.3400000000001</v>
      </c>
      <c r="AC7" s="35">
        <f t="shared" si="1"/>
        <v>1239.3399999999999</v>
      </c>
      <c r="AD7" s="35">
        <f t="shared" si="1"/>
        <v>1217.8399999999999</v>
      </c>
      <c r="AE7" s="35">
        <f t="shared" si="1"/>
        <v>1120.2399999999998</v>
      </c>
      <c r="AF7" s="35">
        <f t="shared" si="1"/>
        <v>1018.14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20</v>
      </c>
      <c r="C11" s="45">
        <v>20</v>
      </c>
      <c r="D11" s="45">
        <v>20</v>
      </c>
      <c r="E11" s="45">
        <v>20</v>
      </c>
      <c r="F11" s="45">
        <v>20</v>
      </c>
      <c r="G11" s="45">
        <v>20</v>
      </c>
      <c r="H11" s="45">
        <v>20</v>
      </c>
      <c r="I11" s="45">
        <v>20</v>
      </c>
      <c r="J11" s="45">
        <v>20</v>
      </c>
      <c r="K11" s="45">
        <v>20</v>
      </c>
      <c r="L11" s="45">
        <v>20</v>
      </c>
      <c r="M11" s="45">
        <v>24</v>
      </c>
      <c r="N11" s="45">
        <v>24</v>
      </c>
      <c r="O11" s="45">
        <v>24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24</v>
      </c>
      <c r="V11" s="45">
        <v>24</v>
      </c>
      <c r="W11" s="45">
        <v>24</v>
      </c>
      <c r="X11" s="45">
        <v>24</v>
      </c>
      <c r="Y11" s="45">
        <v>24</v>
      </c>
      <c r="Z11" s="45">
        <v>24</v>
      </c>
      <c r="AA11" s="45">
        <v>24</v>
      </c>
      <c r="AB11" s="45">
        <v>24</v>
      </c>
      <c r="AC11" s="45">
        <v>24</v>
      </c>
      <c r="AD11" s="45">
        <v>24</v>
      </c>
      <c r="AE11" s="45">
        <v>24</v>
      </c>
      <c r="AF11" s="45">
        <v>24</v>
      </c>
      <c r="AG11" s="46">
        <v>86</v>
      </c>
      <c r="AH11" s="47">
        <f t="shared" ref="AH11:AH74" si="2">MAX(B11:AF11)</f>
        <v>24</v>
      </c>
      <c r="AI11" s="48">
        <f t="shared" ref="AI11:AI74" si="3">MIN(B11:AF11)</f>
        <v>20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13.7</v>
      </c>
      <c r="C12" s="45">
        <v>13.7</v>
      </c>
      <c r="D12" s="45">
        <v>13.7</v>
      </c>
      <c r="E12" s="45">
        <v>14.6</v>
      </c>
      <c r="F12" s="45">
        <v>14.5</v>
      </c>
      <c r="G12" s="45">
        <v>14.5</v>
      </c>
      <c r="H12" s="45">
        <v>13.5</v>
      </c>
      <c r="I12" s="45">
        <v>13.5</v>
      </c>
      <c r="J12" s="45">
        <v>13.5</v>
      </c>
      <c r="K12" s="45">
        <v>13.6</v>
      </c>
      <c r="L12" s="45">
        <v>13.9</v>
      </c>
      <c r="M12" s="45">
        <v>13.9</v>
      </c>
      <c r="N12" s="45">
        <v>13.9</v>
      </c>
      <c r="O12" s="45">
        <v>13.9</v>
      </c>
      <c r="P12" s="45">
        <v>14.4</v>
      </c>
      <c r="Q12" s="45">
        <v>14.4</v>
      </c>
      <c r="R12" s="45">
        <v>14.5</v>
      </c>
      <c r="S12" s="45">
        <v>14.5</v>
      </c>
      <c r="T12" s="45">
        <v>14.5</v>
      </c>
      <c r="U12" s="45">
        <v>14.5</v>
      </c>
      <c r="V12" s="45">
        <v>14.5</v>
      </c>
      <c r="W12" s="45">
        <v>14.5</v>
      </c>
      <c r="X12" s="45">
        <v>14.5</v>
      </c>
      <c r="Y12" s="45">
        <v>14.5</v>
      </c>
      <c r="Z12" s="45">
        <v>14.5</v>
      </c>
      <c r="AA12" s="45">
        <v>14.5</v>
      </c>
      <c r="AB12" s="45">
        <v>14.5</v>
      </c>
      <c r="AC12" s="45">
        <v>14.5</v>
      </c>
      <c r="AD12" s="45">
        <v>14.5</v>
      </c>
      <c r="AE12" s="45">
        <v>14.5</v>
      </c>
      <c r="AF12" s="45">
        <v>14.5</v>
      </c>
      <c r="AG12" s="46">
        <v>52.4</v>
      </c>
      <c r="AH12" s="47">
        <f t="shared" si="2"/>
        <v>14.6</v>
      </c>
      <c r="AI12" s="48">
        <f t="shared" si="3"/>
        <v>13.5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27.4</v>
      </c>
      <c r="C13" s="45">
        <v>27.4</v>
      </c>
      <c r="D13" s="45">
        <v>27.4</v>
      </c>
      <c r="E13" s="45">
        <v>28.2</v>
      </c>
      <c r="F13" s="45">
        <v>28.5</v>
      </c>
      <c r="G13" s="45">
        <v>28.5</v>
      </c>
      <c r="H13" s="45">
        <v>28.5</v>
      </c>
      <c r="I13" s="45">
        <v>28.5</v>
      </c>
      <c r="J13" s="45">
        <v>28.5</v>
      </c>
      <c r="K13" s="45">
        <v>28.4</v>
      </c>
      <c r="L13" s="45">
        <v>28.7</v>
      </c>
      <c r="M13" s="45">
        <v>28.7</v>
      </c>
      <c r="N13" s="45">
        <v>28.7</v>
      </c>
      <c r="O13" s="45">
        <v>28.7</v>
      </c>
      <c r="P13" s="45">
        <v>28.4</v>
      </c>
      <c r="Q13" s="45">
        <v>28.2</v>
      </c>
      <c r="R13" s="45">
        <v>28.1</v>
      </c>
      <c r="S13" s="45">
        <v>28.1</v>
      </c>
      <c r="T13" s="45">
        <v>28.1</v>
      </c>
      <c r="U13" s="45">
        <v>28.1</v>
      </c>
      <c r="V13" s="45">
        <v>28.1</v>
      </c>
      <c r="W13" s="45">
        <v>28.1</v>
      </c>
      <c r="X13" s="45">
        <v>28.1</v>
      </c>
      <c r="Y13" s="45">
        <v>28.1</v>
      </c>
      <c r="Z13" s="45">
        <v>28.1</v>
      </c>
      <c r="AA13" s="45">
        <v>28.1</v>
      </c>
      <c r="AB13" s="45">
        <v>28.1</v>
      </c>
      <c r="AC13" s="45">
        <v>28.1</v>
      </c>
      <c r="AD13" s="45">
        <v>28.1</v>
      </c>
      <c r="AE13" s="45">
        <v>28.1</v>
      </c>
      <c r="AF13" s="45">
        <v>28.1</v>
      </c>
      <c r="AG13" s="50">
        <v>50</v>
      </c>
      <c r="AH13" s="47">
        <f t="shared" si="2"/>
        <v>28.7</v>
      </c>
      <c r="AI13" s="48">
        <f t="shared" si="3"/>
        <v>27.4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15.3</v>
      </c>
      <c r="C14" s="45">
        <v>15.3</v>
      </c>
      <c r="D14" s="45">
        <v>15.3</v>
      </c>
      <c r="E14" s="45">
        <v>15.3</v>
      </c>
      <c r="F14" s="45">
        <v>15.9</v>
      </c>
      <c r="G14" s="45">
        <v>15.9</v>
      </c>
      <c r="H14" s="45">
        <v>15.9</v>
      </c>
      <c r="I14" s="45">
        <v>15.9</v>
      </c>
      <c r="J14" s="45">
        <v>15.9</v>
      </c>
      <c r="K14" s="45">
        <v>15.4</v>
      </c>
      <c r="L14" s="45">
        <v>15.999000000000001</v>
      </c>
      <c r="M14" s="45">
        <v>15.999000000000001</v>
      </c>
      <c r="N14" s="45">
        <v>15.999000000000001</v>
      </c>
      <c r="O14" s="45">
        <v>15.999000000000001</v>
      </c>
      <c r="P14" s="45">
        <v>15.4</v>
      </c>
      <c r="Q14" s="45">
        <v>15.4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19.100000000000001</v>
      </c>
      <c r="Y14" s="45">
        <v>19.100000000000001</v>
      </c>
      <c r="Z14" s="45">
        <v>19.100000000000001</v>
      </c>
      <c r="AA14" s="45">
        <v>19.100000000000001</v>
      </c>
      <c r="AB14" s="45">
        <v>19.100000000000001</v>
      </c>
      <c r="AC14" s="45">
        <v>19.100000000000001</v>
      </c>
      <c r="AD14" s="45">
        <v>19.100000000000001</v>
      </c>
      <c r="AE14" s="45">
        <v>19.100000000000001</v>
      </c>
      <c r="AF14" s="45">
        <v>19.100000000000001</v>
      </c>
      <c r="AG14" s="50">
        <v>45</v>
      </c>
      <c r="AH14" s="47">
        <f t="shared" si="2"/>
        <v>19.100000000000001</v>
      </c>
      <c r="AI14" s="48">
        <f t="shared" si="3"/>
        <v>15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7.5</v>
      </c>
      <c r="C15" s="45">
        <v>7.5</v>
      </c>
      <c r="D15" s="45">
        <v>7.5</v>
      </c>
      <c r="E15" s="45">
        <v>7.5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7.5</v>
      </c>
      <c r="L15" s="45">
        <v>7.5</v>
      </c>
      <c r="M15" s="45">
        <v>7.5</v>
      </c>
      <c r="N15" s="45">
        <v>7.5</v>
      </c>
      <c r="O15" s="45">
        <v>7.5</v>
      </c>
      <c r="P15" s="45">
        <v>8.5</v>
      </c>
      <c r="Q15" s="45">
        <v>8.5</v>
      </c>
      <c r="R15" s="45">
        <v>9.5</v>
      </c>
      <c r="S15" s="45">
        <v>7</v>
      </c>
      <c r="T15" s="45">
        <v>7</v>
      </c>
      <c r="U15" s="45">
        <v>7</v>
      </c>
      <c r="V15" s="45">
        <v>7</v>
      </c>
      <c r="W15" s="45">
        <v>7</v>
      </c>
      <c r="X15" s="45">
        <v>7</v>
      </c>
      <c r="Y15" s="45">
        <v>7</v>
      </c>
      <c r="Z15" s="45">
        <v>7</v>
      </c>
      <c r="AA15" s="45">
        <v>7</v>
      </c>
      <c r="AB15" s="45">
        <v>7</v>
      </c>
      <c r="AC15" s="45">
        <v>7</v>
      </c>
      <c r="AD15" s="45">
        <v>7</v>
      </c>
      <c r="AE15" s="45">
        <v>7</v>
      </c>
      <c r="AF15" s="45">
        <v>7</v>
      </c>
      <c r="AG15" s="50">
        <v>42</v>
      </c>
      <c r="AH15" s="47">
        <f t="shared" si="2"/>
        <v>9.5</v>
      </c>
      <c r="AI15" s="48">
        <f t="shared" si="3"/>
        <v>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8</v>
      </c>
      <c r="C16" s="45">
        <v>8</v>
      </c>
      <c r="D16" s="45">
        <v>8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8</v>
      </c>
      <c r="N16" s="45">
        <v>8</v>
      </c>
      <c r="O16" s="45">
        <v>8</v>
      </c>
      <c r="P16" s="45">
        <v>8</v>
      </c>
      <c r="Q16" s="45">
        <v>8</v>
      </c>
      <c r="R16" s="45">
        <v>8</v>
      </c>
      <c r="S16" s="45">
        <v>8</v>
      </c>
      <c r="T16" s="45">
        <v>8</v>
      </c>
      <c r="U16" s="45">
        <v>8</v>
      </c>
      <c r="V16" s="45">
        <v>8</v>
      </c>
      <c r="W16" s="45">
        <v>8</v>
      </c>
      <c r="X16" s="45">
        <v>8</v>
      </c>
      <c r="Y16" s="45">
        <v>8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50">
        <v>36</v>
      </c>
      <c r="AH16" s="47">
        <f t="shared" si="2"/>
        <v>8</v>
      </c>
      <c r="AI16" s="48">
        <f t="shared" si="3"/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6.5</v>
      </c>
      <c r="N18" s="45">
        <v>6.5</v>
      </c>
      <c r="O18" s="45">
        <v>6.5</v>
      </c>
      <c r="P18" s="45">
        <v>7.4</v>
      </c>
      <c r="Q18" s="45">
        <v>7.2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51">
        <v>30</v>
      </c>
      <c r="AH18" s="47">
        <f t="shared" si="2"/>
        <v>7.5</v>
      </c>
      <c r="AI18" s="48">
        <f t="shared" si="3"/>
        <v>6.5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>
        <v>6.6</v>
      </c>
      <c r="O19" s="45">
        <v>6.6</v>
      </c>
      <c r="P19" s="45">
        <v>6.6</v>
      </c>
      <c r="Q19" s="45">
        <v>6.6</v>
      </c>
      <c r="R19" s="45">
        <v>6.6</v>
      </c>
      <c r="S19" s="45">
        <v>6.6</v>
      </c>
      <c r="T19" s="45">
        <v>6.6</v>
      </c>
      <c r="U19" s="45">
        <v>6.6</v>
      </c>
      <c r="V19" s="45">
        <v>6.6</v>
      </c>
      <c r="W19" s="45">
        <v>6.6</v>
      </c>
      <c r="X19" s="45">
        <v>6.6</v>
      </c>
      <c r="Y19" s="45">
        <v>6.6</v>
      </c>
      <c r="Z19" s="45">
        <v>6.6</v>
      </c>
      <c r="AA19" s="45">
        <v>6.6</v>
      </c>
      <c r="AB19" s="45">
        <v>6.6</v>
      </c>
      <c r="AC19" s="45">
        <v>6.6</v>
      </c>
      <c r="AD19" s="45">
        <v>6.6</v>
      </c>
      <c r="AE19" s="45">
        <v>6.6</v>
      </c>
      <c r="AF19" s="45">
        <v>6.6</v>
      </c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>
        <v>8</v>
      </c>
      <c r="O20" s="45">
        <v>8</v>
      </c>
      <c r="P20" s="45">
        <v>8</v>
      </c>
      <c r="Q20" s="45">
        <v>8</v>
      </c>
      <c r="R20" s="45">
        <v>8</v>
      </c>
      <c r="S20" s="45">
        <v>8</v>
      </c>
      <c r="T20" s="45">
        <v>8</v>
      </c>
      <c r="U20" s="45">
        <v>8</v>
      </c>
      <c r="V20" s="45">
        <v>8</v>
      </c>
      <c r="W20" s="45">
        <v>8</v>
      </c>
      <c r="X20" s="45">
        <v>8</v>
      </c>
      <c r="Y20" s="45">
        <v>8</v>
      </c>
      <c r="Z20" s="45">
        <v>8</v>
      </c>
      <c r="AA20" s="45">
        <v>8</v>
      </c>
      <c r="AB20" s="45">
        <v>8</v>
      </c>
      <c r="AC20" s="45">
        <v>8</v>
      </c>
      <c r="AD20" s="45">
        <v>8</v>
      </c>
      <c r="AE20" s="45">
        <v>8</v>
      </c>
      <c r="AF20" s="45">
        <v>8</v>
      </c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>
        <v>7</v>
      </c>
      <c r="O21" s="45">
        <v>7</v>
      </c>
      <c r="P21" s="45">
        <v>7</v>
      </c>
      <c r="Q21" s="45">
        <v>7</v>
      </c>
      <c r="R21" s="45">
        <v>7</v>
      </c>
      <c r="S21" s="45">
        <v>7</v>
      </c>
      <c r="T21" s="45">
        <v>7</v>
      </c>
      <c r="U21" s="45">
        <v>7</v>
      </c>
      <c r="V21" s="45">
        <v>7</v>
      </c>
      <c r="W21" s="45">
        <v>7</v>
      </c>
      <c r="X21" s="45">
        <v>7</v>
      </c>
      <c r="Y21" s="45">
        <v>7</v>
      </c>
      <c r="Z21" s="45">
        <v>7</v>
      </c>
      <c r="AA21" s="45">
        <v>7</v>
      </c>
      <c r="AB21" s="45">
        <v>7</v>
      </c>
      <c r="AC21" s="45">
        <v>7</v>
      </c>
      <c r="AD21" s="45">
        <v>7</v>
      </c>
      <c r="AE21" s="45">
        <v>0</v>
      </c>
      <c r="AF21" s="45">
        <v>7</v>
      </c>
      <c r="AG21" s="51">
        <v>30</v>
      </c>
      <c r="AH21" s="47">
        <f t="shared" si="2"/>
        <v>7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</v>
      </c>
      <c r="C22" s="45">
        <v>8.1</v>
      </c>
      <c r="D22" s="45">
        <v>8.1</v>
      </c>
      <c r="E22" s="45">
        <v>8.1</v>
      </c>
      <c r="F22" s="45">
        <v>8.1</v>
      </c>
      <c r="G22" s="45">
        <v>8.1</v>
      </c>
      <c r="H22" s="45">
        <v>8.1</v>
      </c>
      <c r="I22" s="45">
        <v>8.1</v>
      </c>
      <c r="J22" s="45">
        <v>8.1</v>
      </c>
      <c r="K22" s="45">
        <v>8.1</v>
      </c>
      <c r="L22" s="45">
        <v>8.1</v>
      </c>
      <c r="M22" s="45">
        <v>8.1</v>
      </c>
      <c r="N22" s="45">
        <v>8.1</v>
      </c>
      <c r="O22" s="45">
        <v>8.1</v>
      </c>
      <c r="P22" s="45">
        <v>6.4</v>
      </c>
      <c r="Q22" s="45">
        <v>6.2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8.1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>
        <v>6.5</v>
      </c>
      <c r="O23" s="45">
        <v>6.5</v>
      </c>
      <c r="P23" s="45">
        <v>6.5</v>
      </c>
      <c r="Q23" s="45">
        <v>6.5</v>
      </c>
      <c r="R23" s="45">
        <v>6.5</v>
      </c>
      <c r="S23" s="45">
        <v>6.5</v>
      </c>
      <c r="T23" s="45">
        <v>6.5</v>
      </c>
      <c r="U23" s="45">
        <v>6.5</v>
      </c>
      <c r="V23" s="45">
        <v>6.5</v>
      </c>
      <c r="W23" s="45">
        <v>6.5</v>
      </c>
      <c r="X23" s="45">
        <v>6.5</v>
      </c>
      <c r="Y23" s="45">
        <v>6.5</v>
      </c>
      <c r="Z23" s="45">
        <v>6.5</v>
      </c>
      <c r="AA23" s="45">
        <v>6.5</v>
      </c>
      <c r="AB23" s="45">
        <v>6.5</v>
      </c>
      <c r="AC23" s="45">
        <v>6.5</v>
      </c>
      <c r="AD23" s="45">
        <v>6.5</v>
      </c>
      <c r="AE23" s="45">
        <v>6.5</v>
      </c>
      <c r="AF23" s="45">
        <v>6.5</v>
      </c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7.8</v>
      </c>
      <c r="AC25" s="45">
        <v>7.8</v>
      </c>
      <c r="AD25" s="45">
        <v>7.8</v>
      </c>
      <c r="AE25" s="45">
        <v>0</v>
      </c>
      <c r="AF25" s="45">
        <v>7.8</v>
      </c>
      <c r="AG25" s="50">
        <v>25</v>
      </c>
      <c r="AH25" s="47">
        <f t="shared" si="2"/>
        <v>7.8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5.9</v>
      </c>
      <c r="C26" s="45">
        <v>5.9</v>
      </c>
      <c r="D26" s="45">
        <v>5.9</v>
      </c>
      <c r="E26" s="45">
        <v>5.9</v>
      </c>
      <c r="F26" s="45">
        <v>5.9</v>
      </c>
      <c r="G26" s="45">
        <v>5.9</v>
      </c>
      <c r="H26" s="45">
        <v>5.9</v>
      </c>
      <c r="I26" s="45">
        <v>5.9</v>
      </c>
      <c r="J26" s="45">
        <v>5.9</v>
      </c>
      <c r="K26" s="45">
        <v>5.9</v>
      </c>
      <c r="L26" s="45">
        <v>5.9</v>
      </c>
      <c r="M26" s="45">
        <v>5.9</v>
      </c>
      <c r="N26" s="45">
        <v>5.9</v>
      </c>
      <c r="O26" s="45">
        <v>5.9</v>
      </c>
      <c r="P26" s="45">
        <v>6.5</v>
      </c>
      <c r="Q26" s="45">
        <v>6.5</v>
      </c>
      <c r="R26" s="45">
        <v>7.1</v>
      </c>
      <c r="S26" s="45">
        <v>7.1</v>
      </c>
      <c r="T26" s="45">
        <v>7.1</v>
      </c>
      <c r="U26" s="45">
        <v>7.1</v>
      </c>
      <c r="V26" s="45">
        <v>7.1</v>
      </c>
      <c r="W26" s="45">
        <v>7.1</v>
      </c>
      <c r="X26" s="45">
        <v>7.1</v>
      </c>
      <c r="Y26" s="45">
        <v>7.1</v>
      </c>
      <c r="Z26" s="45">
        <v>7.1</v>
      </c>
      <c r="AA26" s="45">
        <v>7.1</v>
      </c>
      <c r="AB26" s="45">
        <v>7.1</v>
      </c>
      <c r="AC26" s="45">
        <v>7.1</v>
      </c>
      <c r="AD26" s="45">
        <v>7.1</v>
      </c>
      <c r="AE26" s="45">
        <v>7.1</v>
      </c>
      <c r="AF26" s="45">
        <v>7.1</v>
      </c>
      <c r="AG26" s="50">
        <v>23.5</v>
      </c>
      <c r="AH26" s="47">
        <f t="shared" si="2"/>
        <v>7.1</v>
      </c>
      <c r="AI26" s="48">
        <f t="shared" si="3"/>
        <v>5.9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>
        <v>7</v>
      </c>
      <c r="O27" s="45">
        <v>7</v>
      </c>
      <c r="P27" s="45">
        <v>7</v>
      </c>
      <c r="Q27" s="45">
        <v>7</v>
      </c>
      <c r="R27" s="45">
        <v>7</v>
      </c>
      <c r="S27" s="45">
        <v>7</v>
      </c>
      <c r="T27" s="45">
        <v>7</v>
      </c>
      <c r="U27" s="45">
        <v>7</v>
      </c>
      <c r="V27" s="45">
        <v>7</v>
      </c>
      <c r="W27" s="45">
        <v>7</v>
      </c>
      <c r="X27" s="45">
        <v>7</v>
      </c>
      <c r="Y27" s="45">
        <v>7</v>
      </c>
      <c r="Z27" s="45">
        <v>7</v>
      </c>
      <c r="AA27" s="45">
        <v>7</v>
      </c>
      <c r="AB27" s="45">
        <v>7</v>
      </c>
      <c r="AC27" s="45">
        <v>7</v>
      </c>
      <c r="AD27" s="45">
        <v>7</v>
      </c>
      <c r="AE27" s="45">
        <v>7</v>
      </c>
      <c r="AF27" s="45">
        <v>7</v>
      </c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>
        <v>7</v>
      </c>
      <c r="O28" s="45">
        <v>7</v>
      </c>
      <c r="P28" s="45">
        <v>7</v>
      </c>
      <c r="Q28" s="45">
        <v>7</v>
      </c>
      <c r="R28" s="45">
        <v>7</v>
      </c>
      <c r="S28" s="45">
        <v>7</v>
      </c>
      <c r="T28" s="45">
        <v>7</v>
      </c>
      <c r="U28" s="45">
        <v>7</v>
      </c>
      <c r="V28" s="45">
        <v>7</v>
      </c>
      <c r="W28" s="45">
        <v>7</v>
      </c>
      <c r="X28" s="45">
        <v>7</v>
      </c>
      <c r="Y28" s="45">
        <v>7</v>
      </c>
      <c r="Z28" s="45">
        <v>7</v>
      </c>
      <c r="AA28" s="45">
        <v>7</v>
      </c>
      <c r="AB28" s="45">
        <v>7</v>
      </c>
      <c r="AC28" s="45">
        <v>7</v>
      </c>
      <c r="AD28" s="45">
        <v>7</v>
      </c>
      <c r="AE28" s="45">
        <v>7</v>
      </c>
      <c r="AF28" s="45">
        <v>7</v>
      </c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>
        <v>8</v>
      </c>
      <c r="T29" s="45">
        <v>8</v>
      </c>
      <c r="U29" s="45">
        <v>8</v>
      </c>
      <c r="V29" s="45">
        <v>8</v>
      </c>
      <c r="W29" s="45">
        <v>8</v>
      </c>
      <c r="X29" s="45">
        <v>8</v>
      </c>
      <c r="Y29" s="45">
        <v>8</v>
      </c>
      <c r="Z29" s="45">
        <v>8</v>
      </c>
      <c r="AA29" s="45">
        <v>8</v>
      </c>
      <c r="AB29" s="45">
        <v>8</v>
      </c>
      <c r="AC29" s="45">
        <v>8</v>
      </c>
      <c r="AD29" s="45">
        <v>8</v>
      </c>
      <c r="AE29" s="45">
        <v>8</v>
      </c>
      <c r="AF29" s="45">
        <v>8</v>
      </c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</v>
      </c>
      <c r="C30" s="45">
        <v>8</v>
      </c>
      <c r="D30" s="45">
        <v>8</v>
      </c>
      <c r="E30" s="45">
        <v>8</v>
      </c>
      <c r="F30" s="45">
        <v>8</v>
      </c>
      <c r="G30" s="45">
        <v>8</v>
      </c>
      <c r="H30" s="45">
        <v>8</v>
      </c>
      <c r="I30" s="45">
        <v>8</v>
      </c>
      <c r="J30" s="45">
        <v>8</v>
      </c>
      <c r="K30" s="45">
        <v>8</v>
      </c>
      <c r="L30" s="45">
        <v>8</v>
      </c>
      <c r="M30" s="45">
        <v>8</v>
      </c>
      <c r="N30" s="45">
        <v>8</v>
      </c>
      <c r="O30" s="45">
        <v>8</v>
      </c>
      <c r="P30" s="45">
        <v>8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50">
        <v>22</v>
      </c>
      <c r="AH30" s="47">
        <f t="shared" si="2"/>
        <v>8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>
        <v>7</v>
      </c>
      <c r="AB31" s="45">
        <v>7</v>
      </c>
      <c r="AC31" s="45">
        <v>7</v>
      </c>
      <c r="AD31" s="45">
        <v>7</v>
      </c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>
        <v>3.8</v>
      </c>
      <c r="O32" s="45">
        <v>3.8</v>
      </c>
      <c r="P32" s="45">
        <v>3.8</v>
      </c>
      <c r="Q32" s="45">
        <v>3.8</v>
      </c>
      <c r="R32" s="45">
        <v>3.8</v>
      </c>
      <c r="S32" s="45">
        <v>3.8</v>
      </c>
      <c r="T32" s="45">
        <v>3.8</v>
      </c>
      <c r="U32" s="45">
        <v>3.8</v>
      </c>
      <c r="V32" s="45">
        <v>3.8</v>
      </c>
      <c r="W32" s="45">
        <v>3.8</v>
      </c>
      <c r="X32" s="45">
        <v>3.8</v>
      </c>
      <c r="Y32" s="45">
        <v>3.8</v>
      </c>
      <c r="Z32" s="45">
        <v>3.8</v>
      </c>
      <c r="AA32" s="45">
        <v>3.8</v>
      </c>
      <c r="AB32" s="45">
        <v>3.8</v>
      </c>
      <c r="AC32" s="45">
        <v>3.8</v>
      </c>
      <c r="AD32" s="45">
        <v>3.8</v>
      </c>
      <c r="AE32" s="45">
        <v>3.8</v>
      </c>
      <c r="AF32" s="45">
        <v>3.8</v>
      </c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0</v>
      </c>
      <c r="AF37" s="45">
        <v>7</v>
      </c>
      <c r="AG37" s="50">
        <v>12</v>
      </c>
      <c r="AH37" s="47">
        <f t="shared" si="2"/>
        <v>7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4.8</v>
      </c>
      <c r="C38" s="45">
        <v>4.8</v>
      </c>
      <c r="D38" s="45">
        <v>4.8</v>
      </c>
      <c r="E38" s="45">
        <v>4.8</v>
      </c>
      <c r="F38" s="45">
        <v>4.8</v>
      </c>
      <c r="G38" s="45">
        <v>4.8</v>
      </c>
      <c r="H38" s="45">
        <v>4.8</v>
      </c>
      <c r="I38" s="45">
        <v>4.8</v>
      </c>
      <c r="J38" s="45">
        <v>4.8</v>
      </c>
      <c r="K38" s="45">
        <v>4.8</v>
      </c>
      <c r="L38" s="45">
        <v>4.8</v>
      </c>
      <c r="M38" s="45">
        <v>4.8</v>
      </c>
      <c r="N38" s="45">
        <v>4.8</v>
      </c>
      <c r="O38" s="45">
        <v>4.8</v>
      </c>
      <c r="P38" s="45">
        <v>4.8</v>
      </c>
      <c r="Q38" s="45">
        <v>4.8</v>
      </c>
      <c r="R38" s="45">
        <v>4.8</v>
      </c>
      <c r="S38" s="45">
        <v>4.8</v>
      </c>
      <c r="T38" s="45">
        <v>4.8</v>
      </c>
      <c r="U38" s="45">
        <v>4.8</v>
      </c>
      <c r="V38" s="45">
        <v>4.8</v>
      </c>
      <c r="W38" s="45">
        <v>4.8</v>
      </c>
      <c r="X38" s="45">
        <v>4.8</v>
      </c>
      <c r="Y38" s="45">
        <v>4.8</v>
      </c>
      <c r="Z38" s="45">
        <v>4.8</v>
      </c>
      <c r="AA38" s="45">
        <v>4.8</v>
      </c>
      <c r="AB38" s="45">
        <v>4.8</v>
      </c>
      <c r="AC38" s="45">
        <v>4.8</v>
      </c>
      <c r="AD38" s="45">
        <v>4.8</v>
      </c>
      <c r="AE38" s="45">
        <v>4.8</v>
      </c>
      <c r="AF38" s="45">
        <v>4.8</v>
      </c>
      <c r="AG38" s="50">
        <v>12</v>
      </c>
      <c r="AH38" s="47">
        <f t="shared" si="2"/>
        <v>4.8</v>
      </c>
      <c r="AI38" s="48">
        <f t="shared" si="3"/>
        <v>4.8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>
        <v>5.2</v>
      </c>
      <c r="O41" s="45">
        <v>5.2</v>
      </c>
      <c r="P41" s="45">
        <v>5.2</v>
      </c>
      <c r="Q41" s="45">
        <v>5.2</v>
      </c>
      <c r="R41" s="45">
        <v>5.2</v>
      </c>
      <c r="S41" s="45">
        <v>5.2</v>
      </c>
      <c r="T41" s="45">
        <v>5.2</v>
      </c>
      <c r="U41" s="45">
        <v>5.2</v>
      </c>
      <c r="V41" s="45">
        <v>5.2</v>
      </c>
      <c r="W41" s="45">
        <v>5.2</v>
      </c>
      <c r="X41" s="45">
        <v>5.2</v>
      </c>
      <c r="Y41" s="45">
        <v>5.2</v>
      </c>
      <c r="Z41" s="45">
        <v>5.2</v>
      </c>
      <c r="AA41" s="45">
        <v>5.2</v>
      </c>
      <c r="AB41" s="45">
        <v>5.2</v>
      </c>
      <c r="AC41" s="45">
        <v>5.2</v>
      </c>
      <c r="AD41" s="45">
        <v>5.2</v>
      </c>
      <c r="AE41" s="45">
        <v>5.2</v>
      </c>
      <c r="AF41" s="45">
        <v>5.2</v>
      </c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>
        <v>4</v>
      </c>
      <c r="O43" s="45">
        <v>4</v>
      </c>
      <c r="P43" s="45">
        <v>4</v>
      </c>
      <c r="Q43" s="45">
        <v>4</v>
      </c>
      <c r="R43" s="45">
        <v>4</v>
      </c>
      <c r="S43" s="45">
        <v>4</v>
      </c>
      <c r="T43" s="45">
        <v>4</v>
      </c>
      <c r="U43" s="45">
        <v>4</v>
      </c>
      <c r="V43" s="45">
        <v>4</v>
      </c>
      <c r="W43" s="45">
        <v>4</v>
      </c>
      <c r="X43" s="45">
        <v>4</v>
      </c>
      <c r="Y43" s="45">
        <v>4</v>
      </c>
      <c r="Z43" s="45">
        <v>4</v>
      </c>
      <c r="AA43" s="45">
        <v>4</v>
      </c>
      <c r="AB43" s="45">
        <v>4</v>
      </c>
      <c r="AC43" s="45">
        <v>4</v>
      </c>
      <c r="AD43" s="45">
        <v>4</v>
      </c>
      <c r="AE43" s="45">
        <v>4</v>
      </c>
      <c r="AF43" s="45">
        <v>4</v>
      </c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>
        <v>3.5</v>
      </c>
      <c r="O44" s="45">
        <v>3.5</v>
      </c>
      <c r="P44" s="45">
        <v>3.5</v>
      </c>
      <c r="Q44" s="45">
        <v>3.5</v>
      </c>
      <c r="R44" s="45">
        <v>3.5</v>
      </c>
      <c r="S44" s="45">
        <v>3.5</v>
      </c>
      <c r="T44" s="45">
        <v>3.5</v>
      </c>
      <c r="U44" s="45">
        <v>3.5</v>
      </c>
      <c r="V44" s="45">
        <v>3.5</v>
      </c>
      <c r="W44" s="45">
        <v>3.5</v>
      </c>
      <c r="X44" s="45">
        <v>3.5</v>
      </c>
      <c r="Y44" s="45">
        <v>3.5</v>
      </c>
      <c r="Z44" s="45">
        <v>3.5</v>
      </c>
      <c r="AA44" s="45">
        <v>3.5</v>
      </c>
      <c r="AB44" s="45">
        <v>3.5</v>
      </c>
      <c r="AC44" s="45">
        <v>3.5</v>
      </c>
      <c r="AD44" s="45">
        <v>3.5</v>
      </c>
      <c r="AE44" s="45">
        <v>3.5</v>
      </c>
      <c r="AF44" s="45">
        <v>3.5</v>
      </c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>
        <v>100</v>
      </c>
      <c r="O46" s="56">
        <v>100</v>
      </c>
      <c r="P46" s="56">
        <v>100</v>
      </c>
      <c r="Q46" s="56">
        <v>100</v>
      </c>
      <c r="R46" s="56">
        <v>100</v>
      </c>
      <c r="S46" s="56">
        <v>100</v>
      </c>
      <c r="T46" s="56">
        <v>100</v>
      </c>
      <c r="U46" s="56">
        <v>100</v>
      </c>
      <c r="V46" s="56">
        <v>100</v>
      </c>
      <c r="W46" s="56">
        <v>100</v>
      </c>
      <c r="X46" s="56">
        <v>100</v>
      </c>
      <c r="Y46" s="56">
        <v>100</v>
      </c>
      <c r="Z46" s="56">
        <v>100</v>
      </c>
      <c r="AA46" s="56">
        <v>100</v>
      </c>
      <c r="AB46" s="56">
        <v>100</v>
      </c>
      <c r="AC46" s="56">
        <v>100</v>
      </c>
      <c r="AD46" s="56">
        <v>100</v>
      </c>
      <c r="AE46" s="56">
        <v>100</v>
      </c>
      <c r="AF46" s="56">
        <v>100</v>
      </c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" si="4">SUM(B12:B46)</f>
        <v>345.79999999999995</v>
      </c>
      <c r="C48" s="60">
        <f t="shared" ref="C48:AG48" si="5">SUM(C12:C46)</f>
        <v>345.79999999999995</v>
      </c>
      <c r="D48" s="60">
        <f t="shared" si="5"/>
        <v>345.79999999999995</v>
      </c>
      <c r="E48" s="60">
        <f t="shared" si="5"/>
        <v>347.5</v>
      </c>
      <c r="F48" s="60">
        <f t="shared" si="5"/>
        <v>348.8</v>
      </c>
      <c r="G48" s="60">
        <f t="shared" si="5"/>
        <v>348.8</v>
      </c>
      <c r="H48" s="60">
        <f t="shared" si="5"/>
        <v>347.8</v>
      </c>
      <c r="I48" s="60">
        <f t="shared" si="5"/>
        <v>347.8</v>
      </c>
      <c r="J48" s="60">
        <f t="shared" si="5"/>
        <v>347.8</v>
      </c>
      <c r="K48" s="60">
        <f t="shared" si="5"/>
        <v>346.8</v>
      </c>
      <c r="L48" s="60">
        <f t="shared" si="5"/>
        <v>347.99900000000002</v>
      </c>
      <c r="M48" s="60">
        <f t="shared" si="5"/>
        <v>347.99900000000002</v>
      </c>
      <c r="N48" s="60">
        <f t="shared" si="5"/>
        <v>347.99900000000002</v>
      </c>
      <c r="O48" s="60">
        <f t="shared" si="5"/>
        <v>347.99900000000002</v>
      </c>
      <c r="P48" s="60">
        <f t="shared" si="5"/>
        <v>348.4</v>
      </c>
      <c r="Q48" s="60">
        <f t="shared" si="5"/>
        <v>346.8</v>
      </c>
      <c r="R48" s="60">
        <f t="shared" ref="R48" si="6">SUM(R12:R46)</f>
        <v>348.1</v>
      </c>
      <c r="S48" s="60">
        <f t="shared" si="5"/>
        <v>345.6</v>
      </c>
      <c r="T48" s="60">
        <f t="shared" si="5"/>
        <v>345.6</v>
      </c>
      <c r="U48" s="60">
        <f t="shared" si="5"/>
        <v>345.6</v>
      </c>
      <c r="V48" s="60">
        <f t="shared" si="5"/>
        <v>345.6</v>
      </c>
      <c r="W48" s="60">
        <f t="shared" si="5"/>
        <v>345.6</v>
      </c>
      <c r="X48" s="60">
        <f t="shared" si="5"/>
        <v>349.70000000000005</v>
      </c>
      <c r="Y48" s="60">
        <f t="shared" si="5"/>
        <v>349.70000000000005</v>
      </c>
      <c r="Z48" s="60">
        <f t="shared" si="5"/>
        <v>341.7</v>
      </c>
      <c r="AA48" s="60">
        <f t="shared" si="5"/>
        <v>341.7</v>
      </c>
      <c r="AB48" s="60">
        <f t="shared" si="5"/>
        <v>341.7</v>
      </c>
      <c r="AC48" s="60">
        <f t="shared" si="5"/>
        <v>341.7</v>
      </c>
      <c r="AD48" s="60">
        <f t="shared" si="5"/>
        <v>341.7</v>
      </c>
      <c r="AE48" s="60">
        <f t="shared" si="5"/>
        <v>319.89999999999998</v>
      </c>
      <c r="AF48" s="60">
        <f t="shared" si="5"/>
        <v>341.7</v>
      </c>
      <c r="AG48" s="61">
        <f t="shared" si="5"/>
        <v>875.68</v>
      </c>
      <c r="AH48" s="47">
        <f t="shared" si="2"/>
        <v>349.70000000000005</v>
      </c>
      <c r="AI48" s="48">
        <f t="shared" si="3"/>
        <v>319.89999999999998</v>
      </c>
      <c r="AK48" s="49"/>
    </row>
    <row r="49" spans="1:41" x14ac:dyDescent="0.25">
      <c r="A49" s="62" t="s">
        <v>53</v>
      </c>
      <c r="B49" s="45">
        <v>20</v>
      </c>
      <c r="C49" s="45">
        <v>20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70</v>
      </c>
      <c r="J49" s="45">
        <v>120</v>
      </c>
      <c r="K49" s="45">
        <v>120</v>
      </c>
      <c r="L49" s="45">
        <v>125</v>
      </c>
      <c r="M49" s="63">
        <v>100</v>
      </c>
      <c r="N49" s="63">
        <v>60</v>
      </c>
      <c r="O49" s="45">
        <v>40</v>
      </c>
      <c r="P49" s="45">
        <v>70</v>
      </c>
      <c r="Q49" s="45">
        <v>90</v>
      </c>
      <c r="R49" s="45">
        <v>90</v>
      </c>
      <c r="S49" s="45">
        <v>100</v>
      </c>
      <c r="T49" s="45">
        <v>120</v>
      </c>
      <c r="U49" s="45">
        <v>140</v>
      </c>
      <c r="V49" s="45">
        <v>120</v>
      </c>
      <c r="W49" s="45">
        <v>15</v>
      </c>
      <c r="X49" s="45">
        <v>15</v>
      </c>
      <c r="Y49" s="45">
        <v>130</v>
      </c>
      <c r="Z49" s="45">
        <v>140</v>
      </c>
      <c r="AA49" s="45">
        <v>100</v>
      </c>
      <c r="AB49" s="45">
        <v>100</v>
      </c>
      <c r="AC49" s="45">
        <v>91</v>
      </c>
      <c r="AD49" s="45">
        <v>91</v>
      </c>
      <c r="AE49" s="45">
        <v>91</v>
      </c>
      <c r="AF49" s="45">
        <v>0</v>
      </c>
      <c r="AG49" s="51">
        <v>456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26</v>
      </c>
      <c r="C50" s="65">
        <v>26</v>
      </c>
      <c r="D50" s="65">
        <v>26</v>
      </c>
      <c r="E50" s="65">
        <v>24</v>
      </c>
      <c r="F50" s="65">
        <v>24</v>
      </c>
      <c r="G50" s="65">
        <v>24</v>
      </c>
      <c r="H50" s="65">
        <v>24</v>
      </c>
      <c r="I50" s="65">
        <v>24</v>
      </c>
      <c r="J50" s="65">
        <v>24</v>
      </c>
      <c r="K50" s="65">
        <v>24</v>
      </c>
      <c r="L50" s="65">
        <v>24</v>
      </c>
      <c r="M50" s="65">
        <v>24</v>
      </c>
      <c r="N50" s="65">
        <v>24</v>
      </c>
      <c r="O50" s="65">
        <v>24</v>
      </c>
      <c r="P50" s="65">
        <v>24</v>
      </c>
      <c r="Q50" s="65">
        <v>24</v>
      </c>
      <c r="R50" s="65">
        <v>24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25</v>
      </c>
      <c r="Z50" s="65">
        <v>25</v>
      </c>
      <c r="AA50" s="65">
        <v>25</v>
      </c>
      <c r="AB50" s="65">
        <v>25</v>
      </c>
      <c r="AC50" s="65">
        <v>25</v>
      </c>
      <c r="AD50" s="65">
        <v>25</v>
      </c>
      <c r="AE50" s="65">
        <v>25</v>
      </c>
      <c r="AF50" s="65">
        <v>25</v>
      </c>
      <c r="AG50" s="54">
        <v>60</v>
      </c>
      <c r="AH50" s="47">
        <f t="shared" si="2"/>
        <v>26</v>
      </c>
      <c r="AI50" s="48">
        <f t="shared" si="3"/>
        <v>24</v>
      </c>
      <c r="AK50" s="49"/>
    </row>
    <row r="51" spans="1:41" ht="15.75" thickBot="1" x14ac:dyDescent="0.3">
      <c r="A51" s="66" t="s">
        <v>55</v>
      </c>
      <c r="B51" s="67">
        <v>9.6</v>
      </c>
      <c r="C51" s="67">
        <v>9.6</v>
      </c>
      <c r="D51" s="67">
        <v>9.6</v>
      </c>
      <c r="E51" s="67">
        <v>9.6</v>
      </c>
      <c r="F51" s="67">
        <v>9.6</v>
      </c>
      <c r="G51" s="67">
        <v>9.6</v>
      </c>
      <c r="H51" s="67">
        <v>9.6</v>
      </c>
      <c r="I51" s="67">
        <v>9.6</v>
      </c>
      <c r="J51" s="67">
        <v>9.6</v>
      </c>
      <c r="K51" s="67">
        <v>9.6</v>
      </c>
      <c r="L51" s="67">
        <v>9.6</v>
      </c>
      <c r="M51" s="67">
        <v>9.6</v>
      </c>
      <c r="N51" s="67">
        <v>9.6</v>
      </c>
      <c r="O51" s="67">
        <v>9.6</v>
      </c>
      <c r="P51" s="67">
        <v>9.6</v>
      </c>
      <c r="Q51" s="67">
        <v>9.6</v>
      </c>
      <c r="R51" s="67">
        <v>9.6</v>
      </c>
      <c r="S51" s="67">
        <v>9.6</v>
      </c>
      <c r="T51" s="67">
        <v>9</v>
      </c>
      <c r="U51" s="67">
        <v>9</v>
      </c>
      <c r="V51" s="67">
        <v>9</v>
      </c>
      <c r="W51" s="67">
        <v>9</v>
      </c>
      <c r="X51" s="67">
        <v>9</v>
      </c>
      <c r="Y51" s="67">
        <v>9</v>
      </c>
      <c r="Z51" s="67">
        <v>9.6</v>
      </c>
      <c r="AA51" s="67">
        <v>9.6</v>
      </c>
      <c r="AB51" s="67">
        <v>9.6</v>
      </c>
      <c r="AC51" s="67">
        <v>9.6999999999999993</v>
      </c>
      <c r="AD51" s="67">
        <v>9</v>
      </c>
      <c r="AE51" s="67">
        <v>9</v>
      </c>
      <c r="AF51" s="67">
        <v>9</v>
      </c>
      <c r="AG51" s="68">
        <v>22.1</v>
      </c>
      <c r="AH51" s="47">
        <f t="shared" si="2"/>
        <v>9.6999999999999993</v>
      </c>
      <c r="AI51" s="48">
        <f t="shared" si="3"/>
        <v>9</v>
      </c>
      <c r="AK51" s="49"/>
    </row>
    <row r="52" spans="1:41" ht="15.75" thickBot="1" x14ac:dyDescent="0.3">
      <c r="A52" s="69" t="s">
        <v>56</v>
      </c>
      <c r="B52" s="60">
        <f t="shared" ref="B52" si="7">SUM(B49:B51)</f>
        <v>55.6</v>
      </c>
      <c r="C52" s="60">
        <f t="shared" ref="C52:AG52" si="8">SUM(C49:C51)</f>
        <v>55.6</v>
      </c>
      <c r="D52" s="60">
        <f t="shared" si="8"/>
        <v>35.6</v>
      </c>
      <c r="E52" s="60">
        <f t="shared" si="8"/>
        <v>33.6</v>
      </c>
      <c r="F52" s="60">
        <f t="shared" si="8"/>
        <v>33.6</v>
      </c>
      <c r="G52" s="60">
        <f t="shared" si="8"/>
        <v>33.6</v>
      </c>
      <c r="H52" s="60">
        <f t="shared" si="8"/>
        <v>63.6</v>
      </c>
      <c r="I52" s="60">
        <f t="shared" si="8"/>
        <v>103.6</v>
      </c>
      <c r="J52" s="60">
        <f t="shared" si="8"/>
        <v>153.6</v>
      </c>
      <c r="K52" s="60">
        <f t="shared" si="8"/>
        <v>153.6</v>
      </c>
      <c r="L52" s="60">
        <f t="shared" si="8"/>
        <v>158.6</v>
      </c>
      <c r="M52" s="60">
        <f t="shared" si="8"/>
        <v>133.6</v>
      </c>
      <c r="N52" s="60">
        <f t="shared" si="8"/>
        <v>93.6</v>
      </c>
      <c r="O52" s="60">
        <f t="shared" si="8"/>
        <v>73.599999999999994</v>
      </c>
      <c r="P52" s="60">
        <f t="shared" si="8"/>
        <v>103.6</v>
      </c>
      <c r="Q52" s="60">
        <f t="shared" si="8"/>
        <v>123.6</v>
      </c>
      <c r="R52" s="60">
        <f t="shared" si="8"/>
        <v>123.6</v>
      </c>
      <c r="S52" s="60">
        <f t="shared" si="8"/>
        <v>134.6</v>
      </c>
      <c r="T52" s="60">
        <f t="shared" si="8"/>
        <v>154</v>
      </c>
      <c r="U52" s="60">
        <f t="shared" si="8"/>
        <v>174</v>
      </c>
      <c r="V52" s="60">
        <f t="shared" si="8"/>
        <v>154</v>
      </c>
      <c r="W52" s="60">
        <f t="shared" si="8"/>
        <v>49</v>
      </c>
      <c r="X52" s="60">
        <f t="shared" si="8"/>
        <v>49</v>
      </c>
      <c r="Y52" s="60">
        <f t="shared" si="8"/>
        <v>164</v>
      </c>
      <c r="Z52" s="60">
        <f t="shared" si="8"/>
        <v>174.6</v>
      </c>
      <c r="AA52" s="60">
        <f t="shared" si="8"/>
        <v>134.6</v>
      </c>
      <c r="AB52" s="60">
        <f t="shared" si="8"/>
        <v>134.6</v>
      </c>
      <c r="AC52" s="60">
        <f t="shared" si="8"/>
        <v>125.7</v>
      </c>
      <c r="AD52" s="60">
        <f t="shared" si="8"/>
        <v>125</v>
      </c>
      <c r="AE52" s="60">
        <f t="shared" si="8"/>
        <v>125</v>
      </c>
      <c r="AF52" s="60">
        <f t="shared" si="8"/>
        <v>34</v>
      </c>
      <c r="AG52" s="61">
        <f t="shared" si="8"/>
        <v>538.1</v>
      </c>
      <c r="AH52" s="47">
        <f t="shared" si="2"/>
        <v>174.6</v>
      </c>
      <c r="AI52" s="48">
        <f t="shared" si="3"/>
        <v>33.6</v>
      </c>
      <c r="AK52" s="49"/>
    </row>
    <row r="53" spans="1:41" x14ac:dyDescent="0.25">
      <c r="A53" s="44" t="s">
        <v>57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48</v>
      </c>
      <c r="I53" s="45">
        <v>48</v>
      </c>
      <c r="J53" s="45">
        <v>83.4</v>
      </c>
      <c r="K53" s="45">
        <v>93.4</v>
      </c>
      <c r="L53" s="45">
        <v>93.6</v>
      </c>
      <c r="M53" s="45">
        <v>93</v>
      </c>
      <c r="N53" s="45">
        <v>61.9</v>
      </c>
      <c r="O53" s="45">
        <v>62.5</v>
      </c>
      <c r="P53" s="45">
        <v>83.3</v>
      </c>
      <c r="Q53" s="45">
        <v>83.1</v>
      </c>
      <c r="R53" s="45">
        <v>63.5</v>
      </c>
      <c r="S53" s="45">
        <v>60.9</v>
      </c>
      <c r="T53" s="45">
        <v>92.5</v>
      </c>
      <c r="U53" s="45">
        <v>93</v>
      </c>
      <c r="V53" s="45">
        <v>93</v>
      </c>
      <c r="W53" s="45">
        <v>28.6</v>
      </c>
      <c r="X53" s="45">
        <v>28.6</v>
      </c>
      <c r="Y53" s="45">
        <v>80</v>
      </c>
      <c r="Z53" s="45">
        <v>118.9</v>
      </c>
      <c r="AA53" s="45">
        <v>110</v>
      </c>
      <c r="AB53" s="45">
        <v>82.8</v>
      </c>
      <c r="AC53" s="45">
        <v>82.8</v>
      </c>
      <c r="AD53" s="45">
        <v>82.7</v>
      </c>
      <c r="AE53" s="45">
        <v>55</v>
      </c>
      <c r="AF53" s="45">
        <v>30</v>
      </c>
      <c r="AG53" s="51">
        <v>144</v>
      </c>
      <c r="AH53" s="47">
        <f t="shared" si="2"/>
        <v>118.9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18.899999999999999</v>
      </c>
      <c r="I55" s="65">
        <v>34.200000000000003</v>
      </c>
      <c r="J55" s="65">
        <v>46.5</v>
      </c>
      <c r="K55" s="65">
        <v>67</v>
      </c>
      <c r="L55" s="65">
        <v>69.8</v>
      </c>
      <c r="M55" s="65">
        <v>69.2</v>
      </c>
      <c r="N55" s="65">
        <v>36.1</v>
      </c>
      <c r="O55" s="65">
        <v>36.5</v>
      </c>
      <c r="P55" s="65">
        <v>46</v>
      </c>
      <c r="Q55" s="65">
        <v>45.6</v>
      </c>
      <c r="R55" s="45">
        <v>38.5</v>
      </c>
      <c r="S55" s="45">
        <v>32.5</v>
      </c>
      <c r="T55" s="45">
        <v>45.4</v>
      </c>
      <c r="U55" s="45">
        <v>45.4</v>
      </c>
      <c r="V55" s="45">
        <v>45.4</v>
      </c>
      <c r="W55" s="45">
        <v>0</v>
      </c>
      <c r="X55" s="45">
        <v>0</v>
      </c>
      <c r="Y55" s="45">
        <v>60</v>
      </c>
      <c r="Z55" s="45">
        <v>60.3</v>
      </c>
      <c r="AA55" s="45">
        <v>44.8</v>
      </c>
      <c r="AB55" s="65">
        <v>34.4</v>
      </c>
      <c r="AC55" s="65">
        <v>32.9</v>
      </c>
      <c r="AD55" s="65">
        <v>33</v>
      </c>
      <c r="AE55" s="65">
        <v>32</v>
      </c>
      <c r="AF55" s="65">
        <v>0</v>
      </c>
      <c r="AG55" s="54">
        <v>69</v>
      </c>
      <c r="AH55" s="47">
        <f t="shared" si="2"/>
        <v>69.8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36.299999999999997</v>
      </c>
      <c r="C56" s="65">
        <v>36.299999999999997</v>
      </c>
      <c r="D56" s="65">
        <v>36.299999999999997</v>
      </c>
      <c r="E56" s="65">
        <v>36.299999999999997</v>
      </c>
      <c r="F56" s="56">
        <v>38</v>
      </c>
      <c r="G56" s="56">
        <v>38.299999999999997</v>
      </c>
      <c r="H56" s="56">
        <v>38</v>
      </c>
      <c r="I56" s="56">
        <v>38</v>
      </c>
      <c r="J56" s="56">
        <v>46.7</v>
      </c>
      <c r="K56" s="56">
        <v>37.799999999999997</v>
      </c>
      <c r="L56" s="56">
        <v>37.299999999999997</v>
      </c>
      <c r="M56" s="65">
        <v>37.200000000000003</v>
      </c>
      <c r="N56" s="65">
        <v>37.200000000000003</v>
      </c>
      <c r="O56" s="65">
        <v>37.200000000000003</v>
      </c>
      <c r="P56" s="65">
        <v>36.299999999999997</v>
      </c>
      <c r="Q56" s="65">
        <v>36.299999999999997</v>
      </c>
      <c r="R56" s="45">
        <v>36.299999999999997</v>
      </c>
      <c r="S56" s="45">
        <v>38</v>
      </c>
      <c r="T56" s="45">
        <v>38</v>
      </c>
      <c r="U56" s="45">
        <v>38</v>
      </c>
      <c r="V56" s="45">
        <v>38</v>
      </c>
      <c r="W56" s="45">
        <v>38</v>
      </c>
      <c r="X56" s="45">
        <v>38</v>
      </c>
      <c r="Y56" s="65">
        <v>37.799999999999997</v>
      </c>
      <c r="Z56" s="65">
        <v>36.299999999999997</v>
      </c>
      <c r="AA56" s="65">
        <v>36.299999999999997</v>
      </c>
      <c r="AB56" s="65">
        <v>36.299999999999997</v>
      </c>
      <c r="AC56" s="65">
        <v>36.299999999999997</v>
      </c>
      <c r="AD56" s="65">
        <v>36.299999999999997</v>
      </c>
      <c r="AE56" s="65">
        <v>37</v>
      </c>
      <c r="AF56" s="65">
        <v>37</v>
      </c>
      <c r="AG56" s="54">
        <v>60</v>
      </c>
      <c r="AH56" s="47">
        <f t="shared" si="2"/>
        <v>46.7</v>
      </c>
      <c r="AI56" s="48">
        <f t="shared" si="3"/>
        <v>36.299999999999997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65">
        <v>0</v>
      </c>
      <c r="F57" s="56">
        <v>0</v>
      </c>
      <c r="G57" s="56">
        <v>0</v>
      </c>
      <c r="H57" s="56">
        <v>13</v>
      </c>
      <c r="I57" s="56">
        <v>12.8</v>
      </c>
      <c r="J57" s="56">
        <v>12.9</v>
      </c>
      <c r="K57" s="56">
        <v>15</v>
      </c>
      <c r="L57" s="56">
        <v>15</v>
      </c>
      <c r="M57" s="65">
        <v>15</v>
      </c>
      <c r="N57" s="65">
        <v>15</v>
      </c>
      <c r="O57" s="65">
        <v>15</v>
      </c>
      <c r="P57" s="65">
        <v>13</v>
      </c>
      <c r="Q57" s="65">
        <v>13</v>
      </c>
      <c r="R57" s="45">
        <v>12.8</v>
      </c>
      <c r="S57" s="45">
        <v>12.7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65">
        <v>26.6</v>
      </c>
      <c r="Z57" s="65">
        <v>29.1</v>
      </c>
      <c r="AA57" s="65">
        <v>29.1</v>
      </c>
      <c r="AB57" s="65">
        <v>24.8</v>
      </c>
      <c r="AC57" s="65">
        <v>15</v>
      </c>
      <c r="AD57" s="65">
        <v>0</v>
      </c>
      <c r="AE57" s="65">
        <v>0</v>
      </c>
      <c r="AF57" s="65">
        <v>0</v>
      </c>
      <c r="AG57" s="54">
        <v>30</v>
      </c>
      <c r="AH57" s="47">
        <f t="shared" si="2"/>
        <v>29.1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6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65">
        <v>3.43</v>
      </c>
      <c r="N58" s="65">
        <v>7.1</v>
      </c>
      <c r="O58" s="65">
        <v>11.48</v>
      </c>
      <c r="P58" s="65">
        <v>11.51</v>
      </c>
      <c r="Q58" s="65">
        <v>12.05</v>
      </c>
      <c r="R58" s="45">
        <v>13</v>
      </c>
      <c r="S58" s="45">
        <v>6</v>
      </c>
      <c r="T58" s="45">
        <v>6</v>
      </c>
      <c r="U58" s="45">
        <v>4</v>
      </c>
      <c r="V58" s="45">
        <v>0</v>
      </c>
      <c r="W58" s="45">
        <v>0</v>
      </c>
      <c r="X58" s="4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13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12</v>
      </c>
      <c r="C59" s="65">
        <v>12</v>
      </c>
      <c r="D59" s="65">
        <v>12</v>
      </c>
      <c r="E59" s="65">
        <v>12</v>
      </c>
      <c r="F59" s="65">
        <v>12</v>
      </c>
      <c r="G59" s="65">
        <v>12</v>
      </c>
      <c r="H59" s="65">
        <v>12</v>
      </c>
      <c r="I59" s="65">
        <v>12</v>
      </c>
      <c r="J59" s="65">
        <v>12</v>
      </c>
      <c r="K59" s="65">
        <v>12</v>
      </c>
      <c r="L59" s="65">
        <v>12</v>
      </c>
      <c r="M59" s="65">
        <v>12</v>
      </c>
      <c r="N59" s="65">
        <v>12</v>
      </c>
      <c r="O59" s="65">
        <v>12</v>
      </c>
      <c r="P59" s="65">
        <v>12</v>
      </c>
      <c r="Q59" s="65">
        <v>12</v>
      </c>
      <c r="R59" s="65">
        <v>12</v>
      </c>
      <c r="S59" s="45">
        <v>12</v>
      </c>
      <c r="T59" s="45">
        <v>12</v>
      </c>
      <c r="U59" s="45">
        <v>12</v>
      </c>
      <c r="V59" s="45">
        <v>12</v>
      </c>
      <c r="W59" s="45">
        <v>12</v>
      </c>
      <c r="X59" s="45">
        <v>12</v>
      </c>
      <c r="Y59" s="65">
        <v>12</v>
      </c>
      <c r="Z59" s="65">
        <v>12</v>
      </c>
      <c r="AA59" s="65">
        <v>12</v>
      </c>
      <c r="AB59" s="65">
        <v>12</v>
      </c>
      <c r="AC59" s="65">
        <v>12</v>
      </c>
      <c r="AD59" s="65">
        <v>12</v>
      </c>
      <c r="AE59" s="65">
        <v>12</v>
      </c>
      <c r="AF59" s="65">
        <v>12</v>
      </c>
      <c r="AG59" s="54">
        <v>24</v>
      </c>
      <c r="AH59" s="47">
        <f t="shared" si="2"/>
        <v>12</v>
      </c>
      <c r="AI59" s="48">
        <f t="shared" si="3"/>
        <v>12</v>
      </c>
      <c r="AK59" s="49"/>
    </row>
    <row r="60" spans="1:41" x14ac:dyDescent="0.25">
      <c r="A60" s="53" t="s">
        <v>64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3.4</v>
      </c>
      <c r="L60" s="65">
        <v>3.4</v>
      </c>
      <c r="M60" s="65">
        <v>3.4</v>
      </c>
      <c r="N60" s="65">
        <v>3.4</v>
      </c>
      <c r="O60" s="65">
        <v>3.4</v>
      </c>
      <c r="P60" s="65">
        <v>3.4</v>
      </c>
      <c r="Q60" s="65">
        <v>3.4</v>
      </c>
      <c r="R60" s="65">
        <v>3.4</v>
      </c>
      <c r="S60" s="65">
        <v>3.4</v>
      </c>
      <c r="T60" s="65">
        <v>3.4</v>
      </c>
      <c r="U60" s="65">
        <v>3.4</v>
      </c>
      <c r="V60" s="65">
        <v>3.4</v>
      </c>
      <c r="W60" s="65">
        <v>3.4</v>
      </c>
      <c r="X60" s="65">
        <v>3.4</v>
      </c>
      <c r="Y60" s="65">
        <v>3.4</v>
      </c>
      <c r="Z60" s="65">
        <v>3.4</v>
      </c>
      <c r="AA60" s="65">
        <v>3.4</v>
      </c>
      <c r="AB60" s="65">
        <v>3.4</v>
      </c>
      <c r="AC60" s="65">
        <v>3.4</v>
      </c>
      <c r="AD60" s="65">
        <v>3.4</v>
      </c>
      <c r="AE60" s="65">
        <v>3.4</v>
      </c>
      <c r="AF60" s="65">
        <v>3.4</v>
      </c>
      <c r="AG60" s="54">
        <v>15</v>
      </c>
      <c r="AH60" s="47">
        <f t="shared" si="2"/>
        <v>3.4</v>
      </c>
      <c r="AI60" s="48">
        <f t="shared" si="3"/>
        <v>3.2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9.3000000000000007</v>
      </c>
      <c r="C61" s="65">
        <v>9.3000000000000007</v>
      </c>
      <c r="D61" s="65">
        <v>9.3000000000000007</v>
      </c>
      <c r="E61" s="65">
        <v>9.3000000000000007</v>
      </c>
      <c r="F61" s="65">
        <v>9.1999999999999993</v>
      </c>
      <c r="G61" s="65">
        <v>9.1999999999999993</v>
      </c>
      <c r="H61" s="65">
        <v>9.1</v>
      </c>
      <c r="I61" s="65">
        <v>9.1</v>
      </c>
      <c r="J61" s="65">
        <v>9</v>
      </c>
      <c r="K61" s="65">
        <v>9.1</v>
      </c>
      <c r="L61" s="65">
        <v>9.1</v>
      </c>
      <c r="M61" s="65">
        <v>9.1</v>
      </c>
      <c r="N61" s="65">
        <v>9.1</v>
      </c>
      <c r="O61" s="65">
        <v>9.1</v>
      </c>
      <c r="P61" s="65">
        <v>9.1</v>
      </c>
      <c r="Q61" s="65">
        <v>9.1</v>
      </c>
      <c r="R61" s="65">
        <v>9.1</v>
      </c>
      <c r="S61" s="65">
        <v>9.1</v>
      </c>
      <c r="T61" s="65">
        <v>9.1</v>
      </c>
      <c r="U61" s="65">
        <v>9.1</v>
      </c>
      <c r="V61" s="65">
        <v>9.1</v>
      </c>
      <c r="W61" s="65">
        <v>9.1</v>
      </c>
      <c r="X61" s="65">
        <v>9.1</v>
      </c>
      <c r="Y61" s="65">
        <v>8.9</v>
      </c>
      <c r="Z61" s="65">
        <v>8.9</v>
      </c>
      <c r="AA61" s="65">
        <v>8.9</v>
      </c>
      <c r="AB61" s="65">
        <v>8.9</v>
      </c>
      <c r="AC61" s="65">
        <v>8.9</v>
      </c>
      <c r="AD61" s="65">
        <v>8.9</v>
      </c>
      <c r="AE61" s="65">
        <v>0</v>
      </c>
      <c r="AF61" s="65">
        <v>8.9</v>
      </c>
      <c r="AG61" s="54">
        <v>14.1</v>
      </c>
      <c r="AH61" s="47">
        <f t="shared" si="2"/>
        <v>9.3000000000000007</v>
      </c>
      <c r="AI61" s="48">
        <f t="shared" si="3"/>
        <v>0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2.9</v>
      </c>
      <c r="C62" s="65">
        <v>2.9</v>
      </c>
      <c r="D62" s="65">
        <v>2.9</v>
      </c>
      <c r="E62" s="65">
        <v>2.9</v>
      </c>
      <c r="F62" s="65">
        <v>3.1</v>
      </c>
      <c r="G62" s="65">
        <v>3.1</v>
      </c>
      <c r="H62" s="65">
        <v>3.1</v>
      </c>
      <c r="I62" s="65">
        <v>4.8</v>
      </c>
      <c r="J62" s="65">
        <v>4.8</v>
      </c>
      <c r="K62" s="65">
        <v>4.9000000000000004</v>
      </c>
      <c r="L62" s="65">
        <v>4.9000000000000004</v>
      </c>
      <c r="M62" s="65">
        <v>4.9000000000000004</v>
      </c>
      <c r="N62" s="65">
        <v>4.9000000000000004</v>
      </c>
      <c r="O62" s="65">
        <v>4.9000000000000004</v>
      </c>
      <c r="P62" s="65">
        <v>4.9000000000000004</v>
      </c>
      <c r="Q62" s="65">
        <v>4.9000000000000004</v>
      </c>
      <c r="R62" s="65">
        <v>4.9000000000000004</v>
      </c>
      <c r="S62" s="65">
        <v>4</v>
      </c>
      <c r="T62" s="65">
        <v>4</v>
      </c>
      <c r="U62" s="65">
        <v>4</v>
      </c>
      <c r="V62" s="65">
        <v>4</v>
      </c>
      <c r="W62" s="65">
        <v>4</v>
      </c>
      <c r="X62" s="65">
        <v>3</v>
      </c>
      <c r="Y62" s="65">
        <v>3</v>
      </c>
      <c r="Z62" s="65">
        <v>3</v>
      </c>
      <c r="AA62" s="65">
        <v>3</v>
      </c>
      <c r="AB62" s="65">
        <v>3</v>
      </c>
      <c r="AC62" s="65">
        <v>3</v>
      </c>
      <c r="AD62" s="65">
        <v>3</v>
      </c>
      <c r="AE62" s="65">
        <v>3</v>
      </c>
      <c r="AF62" s="65">
        <v>3</v>
      </c>
      <c r="AG62" s="54">
        <v>14</v>
      </c>
      <c r="AH62" s="47">
        <f t="shared" si="2"/>
        <v>4.9000000000000004</v>
      </c>
      <c r="AI62" s="48">
        <f t="shared" si="3"/>
        <v>2.9</v>
      </c>
      <c r="AK62" s="49"/>
    </row>
    <row r="63" spans="1:41" x14ac:dyDescent="0.25">
      <c r="A63" s="53" t="s">
        <v>67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</v>
      </c>
      <c r="J63" s="65">
        <v>4</v>
      </c>
      <c r="K63" s="65">
        <v>4</v>
      </c>
      <c r="L63" s="65">
        <v>4</v>
      </c>
      <c r="M63" s="65">
        <v>4</v>
      </c>
      <c r="N63" s="65">
        <v>4</v>
      </c>
      <c r="O63" s="65">
        <v>4</v>
      </c>
      <c r="P63" s="65">
        <v>4</v>
      </c>
      <c r="Q63" s="65">
        <v>4</v>
      </c>
      <c r="R63" s="65">
        <v>4</v>
      </c>
      <c r="S63" s="65">
        <v>4</v>
      </c>
      <c r="T63" s="65">
        <v>4</v>
      </c>
      <c r="U63" s="65">
        <v>4</v>
      </c>
      <c r="V63" s="65">
        <v>4</v>
      </c>
      <c r="W63" s="65">
        <v>4</v>
      </c>
      <c r="X63" s="65">
        <v>4</v>
      </c>
      <c r="Y63" s="65">
        <v>4</v>
      </c>
      <c r="Z63" s="65">
        <v>4</v>
      </c>
      <c r="AA63" s="65">
        <v>4</v>
      </c>
      <c r="AB63" s="65">
        <v>4</v>
      </c>
      <c r="AC63" s="65">
        <v>4</v>
      </c>
      <c r="AD63" s="65">
        <v>4</v>
      </c>
      <c r="AE63" s="65">
        <v>0</v>
      </c>
      <c r="AF63" s="65">
        <v>4</v>
      </c>
      <c r="AG63" s="54">
        <v>10.050000000000001</v>
      </c>
      <c r="AH63" s="47">
        <f t="shared" si="2"/>
        <v>4.5999999999999996</v>
      </c>
      <c r="AI63" s="48">
        <f t="shared" si="3"/>
        <v>0</v>
      </c>
      <c r="AK63" s="49"/>
    </row>
    <row r="64" spans="1:41" x14ac:dyDescent="0.25">
      <c r="A64" s="53" t="s">
        <v>68</v>
      </c>
      <c r="B64" s="65">
        <v>1.6</v>
      </c>
      <c r="C64" s="65">
        <v>1.6</v>
      </c>
      <c r="D64" s="65">
        <v>1.6</v>
      </c>
      <c r="E64" s="65">
        <v>1.6</v>
      </c>
      <c r="F64" s="65">
        <v>1.6</v>
      </c>
      <c r="G64" s="65">
        <v>1.6</v>
      </c>
      <c r="H64" s="65">
        <v>1.6</v>
      </c>
      <c r="I64" s="65">
        <v>1.6</v>
      </c>
      <c r="J64" s="65">
        <v>1.6</v>
      </c>
      <c r="K64" s="65">
        <v>1.6</v>
      </c>
      <c r="L64" s="65">
        <v>1.6</v>
      </c>
      <c r="M64" s="65">
        <v>1.6</v>
      </c>
      <c r="N64" s="65">
        <v>1.6</v>
      </c>
      <c r="O64" s="65">
        <v>1.6</v>
      </c>
      <c r="P64" s="65">
        <v>1.6</v>
      </c>
      <c r="Q64" s="65">
        <v>1.6</v>
      </c>
      <c r="R64" s="65">
        <v>1.6</v>
      </c>
      <c r="S64" s="65">
        <v>1.6</v>
      </c>
      <c r="T64" s="65">
        <v>1.6</v>
      </c>
      <c r="U64" s="65">
        <v>1.6</v>
      </c>
      <c r="V64" s="65">
        <v>1.6</v>
      </c>
      <c r="W64" s="65">
        <v>1.6</v>
      </c>
      <c r="X64" s="65">
        <v>1.6</v>
      </c>
      <c r="Y64" s="65">
        <v>1.6</v>
      </c>
      <c r="Z64" s="65">
        <v>1.6</v>
      </c>
      <c r="AA64" s="65">
        <v>1.6</v>
      </c>
      <c r="AB64" s="65">
        <v>1.6</v>
      </c>
      <c r="AC64" s="65">
        <v>1.6</v>
      </c>
      <c r="AD64" s="65">
        <v>1.6</v>
      </c>
      <c r="AE64" s="65">
        <v>1.6</v>
      </c>
      <c r="AF64" s="65">
        <v>1.6</v>
      </c>
      <c r="AG64" s="54">
        <v>6.2</v>
      </c>
      <c r="AH64" s="47">
        <f t="shared" si="2"/>
        <v>1.6</v>
      </c>
      <c r="AI64" s="48">
        <f t="shared" si="3"/>
        <v>1.6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" si="9">SUM(B53:B65)</f>
        <v>73.44</v>
      </c>
      <c r="C66" s="60">
        <f t="shared" ref="C66:AG66" si="10">SUM(C53:C65)</f>
        <v>73.44</v>
      </c>
      <c r="D66" s="60">
        <f t="shared" si="10"/>
        <v>73.44</v>
      </c>
      <c r="E66" s="60">
        <f t="shared" si="10"/>
        <v>73.44</v>
      </c>
      <c r="F66" s="60">
        <f t="shared" si="10"/>
        <v>75.239999999999995</v>
      </c>
      <c r="G66" s="60">
        <f t="shared" si="10"/>
        <v>75.539999999999992</v>
      </c>
      <c r="H66" s="60">
        <f t="shared" si="10"/>
        <v>155.03999999999996</v>
      </c>
      <c r="I66" s="60">
        <f t="shared" si="10"/>
        <v>171.23999999999998</v>
      </c>
      <c r="J66" s="60">
        <f t="shared" si="10"/>
        <v>227.64000000000001</v>
      </c>
      <c r="K66" s="60">
        <f t="shared" si="10"/>
        <v>251.73999999999998</v>
      </c>
      <c r="L66" s="60">
        <f t="shared" si="10"/>
        <v>254.23999999999998</v>
      </c>
      <c r="M66" s="60">
        <f t="shared" si="10"/>
        <v>256.37</v>
      </c>
      <c r="N66" s="60">
        <f t="shared" si="10"/>
        <v>195.83999999999997</v>
      </c>
      <c r="O66" s="60">
        <f t="shared" si="10"/>
        <v>201.21999999999997</v>
      </c>
      <c r="P66" s="60">
        <f t="shared" si="10"/>
        <v>228.65</v>
      </c>
      <c r="Q66" s="60">
        <f t="shared" si="10"/>
        <v>228.59</v>
      </c>
      <c r="R66" s="60">
        <f t="shared" si="10"/>
        <v>202.64000000000001</v>
      </c>
      <c r="S66" s="60">
        <f t="shared" si="10"/>
        <v>187.73999999999998</v>
      </c>
      <c r="T66" s="60">
        <f t="shared" si="10"/>
        <v>219.54</v>
      </c>
      <c r="U66" s="60">
        <f t="shared" si="10"/>
        <v>218.04</v>
      </c>
      <c r="V66" s="60">
        <f t="shared" si="10"/>
        <v>214.04</v>
      </c>
      <c r="W66" s="60">
        <f t="shared" si="10"/>
        <v>104.24</v>
      </c>
      <c r="X66" s="60">
        <f t="shared" si="10"/>
        <v>103.24</v>
      </c>
      <c r="Y66" s="60">
        <f t="shared" si="10"/>
        <v>240.84</v>
      </c>
      <c r="Z66" s="60">
        <f t="shared" si="10"/>
        <v>281.04000000000002</v>
      </c>
      <c r="AA66" s="60">
        <f t="shared" si="10"/>
        <v>256.64000000000004</v>
      </c>
      <c r="AB66" s="60">
        <f t="shared" si="10"/>
        <v>214.74</v>
      </c>
      <c r="AC66" s="60">
        <f t="shared" si="10"/>
        <v>203.44</v>
      </c>
      <c r="AD66" s="60">
        <f t="shared" si="10"/>
        <v>188.44</v>
      </c>
      <c r="AE66" s="60">
        <f t="shared" si="10"/>
        <v>147.54</v>
      </c>
      <c r="AF66" s="60">
        <f t="shared" si="10"/>
        <v>103.44000000000001</v>
      </c>
      <c r="AG66" s="61">
        <f t="shared" si="10"/>
        <v>489.91</v>
      </c>
      <c r="AH66" s="47">
        <f t="shared" si="2"/>
        <v>281.04000000000002</v>
      </c>
      <c r="AI66" s="48">
        <f t="shared" si="3"/>
        <v>73.44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25</v>
      </c>
      <c r="Q67" s="45">
        <v>25</v>
      </c>
      <c r="R67" s="45">
        <v>45</v>
      </c>
      <c r="S67" s="45">
        <v>40</v>
      </c>
      <c r="T67" s="45">
        <v>30</v>
      </c>
      <c r="U67" s="45">
        <v>30</v>
      </c>
      <c r="V67" s="45">
        <v>40</v>
      </c>
      <c r="W67" s="45">
        <v>60</v>
      </c>
      <c r="X67" s="45">
        <v>60</v>
      </c>
      <c r="Y67" s="45">
        <v>50</v>
      </c>
      <c r="Z67" s="45">
        <v>50</v>
      </c>
      <c r="AA67" s="45">
        <v>35</v>
      </c>
      <c r="AB67" s="45">
        <v>14</v>
      </c>
      <c r="AC67" s="45">
        <v>10</v>
      </c>
      <c r="AD67" s="45">
        <v>10</v>
      </c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11.3</v>
      </c>
      <c r="Q68" s="45">
        <v>10.7</v>
      </c>
      <c r="R68" s="45">
        <v>18.2</v>
      </c>
      <c r="S68" s="65">
        <v>15.9</v>
      </c>
      <c r="T68" s="65">
        <v>13.6</v>
      </c>
      <c r="U68" s="65">
        <v>14.5</v>
      </c>
      <c r="V68" s="65">
        <v>15</v>
      </c>
      <c r="W68" s="65">
        <v>28</v>
      </c>
      <c r="X68" s="65">
        <v>27.6</v>
      </c>
      <c r="Y68" s="65">
        <v>28.5</v>
      </c>
      <c r="Z68" s="65">
        <v>21.8</v>
      </c>
      <c r="AA68" s="65">
        <v>20</v>
      </c>
      <c r="AB68" s="65">
        <v>5.5</v>
      </c>
      <c r="AC68" s="65">
        <v>4.2</v>
      </c>
      <c r="AD68" s="65">
        <v>4.2</v>
      </c>
      <c r="AE68" s="65">
        <v>0</v>
      </c>
      <c r="AF68" s="65">
        <v>0</v>
      </c>
      <c r="AG68" s="54">
        <v>32</v>
      </c>
      <c r="AH68" s="47">
        <f t="shared" si="2"/>
        <v>28.5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4.0999999999999996</v>
      </c>
      <c r="Q69" s="45">
        <v>3.9</v>
      </c>
      <c r="R69" s="45">
        <v>6.6</v>
      </c>
      <c r="S69" s="67">
        <v>5.8</v>
      </c>
      <c r="T69" s="67">
        <v>5</v>
      </c>
      <c r="U69" s="67">
        <v>5.3</v>
      </c>
      <c r="V69" s="67">
        <v>5.3</v>
      </c>
      <c r="W69" s="67">
        <v>7.4</v>
      </c>
      <c r="X69" s="67">
        <v>10.1</v>
      </c>
      <c r="Y69" s="67">
        <v>10.4</v>
      </c>
      <c r="Z69" s="67">
        <v>7.9</v>
      </c>
      <c r="AA69" s="67">
        <v>8</v>
      </c>
      <c r="AB69" s="67">
        <v>2</v>
      </c>
      <c r="AC69" s="67">
        <v>1.5</v>
      </c>
      <c r="AD69" s="67">
        <v>1.5</v>
      </c>
      <c r="AE69" s="67">
        <v>0</v>
      </c>
      <c r="AF69" s="67">
        <v>0</v>
      </c>
      <c r="AG69" s="68">
        <v>14</v>
      </c>
      <c r="AH69" s="47">
        <f t="shared" si="2"/>
        <v>10.4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11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12">M67+M68+M69</f>
        <v>0</v>
      </c>
      <c r="N70" s="60">
        <f t="shared" si="12"/>
        <v>0</v>
      </c>
      <c r="O70" s="60">
        <f t="shared" si="12"/>
        <v>0</v>
      </c>
      <c r="P70" s="60">
        <f t="shared" si="12"/>
        <v>40.4</v>
      </c>
      <c r="Q70" s="60">
        <f t="shared" si="12"/>
        <v>39.6</v>
      </c>
      <c r="R70" s="60">
        <f t="shared" si="12"/>
        <v>69.8</v>
      </c>
      <c r="S70" s="60">
        <f t="shared" si="12"/>
        <v>61.699999999999996</v>
      </c>
      <c r="T70" s="60">
        <f t="shared" si="12"/>
        <v>48.6</v>
      </c>
      <c r="U70" s="60">
        <f t="shared" si="12"/>
        <v>49.8</v>
      </c>
      <c r="V70" s="60">
        <f t="shared" si="12"/>
        <v>60.3</v>
      </c>
      <c r="W70" s="60">
        <f t="shared" si="12"/>
        <v>95.4</v>
      </c>
      <c r="X70" s="60">
        <f t="shared" si="12"/>
        <v>97.699999999999989</v>
      </c>
      <c r="Y70" s="60">
        <f t="shared" si="12"/>
        <v>88.9</v>
      </c>
      <c r="Z70" s="60">
        <f t="shared" si="12"/>
        <v>79.7</v>
      </c>
      <c r="AA70" s="60">
        <f t="shared" si="12"/>
        <v>63</v>
      </c>
      <c r="AB70" s="60">
        <f t="shared" si="12"/>
        <v>21.5</v>
      </c>
      <c r="AC70" s="60">
        <f t="shared" si="12"/>
        <v>15.7</v>
      </c>
      <c r="AD70" s="60">
        <f t="shared" si="12"/>
        <v>15.7</v>
      </c>
      <c r="AE70" s="60">
        <f t="shared" si="12"/>
        <v>0</v>
      </c>
      <c r="AF70" s="60">
        <f t="shared" si="12"/>
        <v>0</v>
      </c>
      <c r="AG70" s="61">
        <f>SUM(AG67:AG69)</f>
        <v>106</v>
      </c>
      <c r="AH70" s="47">
        <f t="shared" si="2"/>
        <v>97.699999999999989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62.1</v>
      </c>
      <c r="C71" s="45">
        <v>64.900000000000006</v>
      </c>
      <c r="D71" s="45"/>
      <c r="E71" s="45">
        <v>62</v>
      </c>
      <c r="F71" s="45">
        <v>68</v>
      </c>
      <c r="G71" s="45">
        <v>70</v>
      </c>
      <c r="H71" s="45">
        <v>61.5</v>
      </c>
      <c r="I71" s="45">
        <v>62.5</v>
      </c>
      <c r="J71" s="45">
        <v>67</v>
      </c>
      <c r="K71" s="45">
        <v>65.3</v>
      </c>
      <c r="L71" s="45">
        <v>63</v>
      </c>
      <c r="M71" s="45">
        <v>66</v>
      </c>
      <c r="N71" s="45">
        <v>67.599999999999994</v>
      </c>
      <c r="O71" s="45">
        <v>70.099999999999994</v>
      </c>
      <c r="P71" s="45">
        <v>68.400000000000006</v>
      </c>
      <c r="Q71" s="45">
        <v>65.900000000000006</v>
      </c>
      <c r="R71" s="45">
        <v>67.8</v>
      </c>
      <c r="S71" s="45">
        <v>63.9</v>
      </c>
      <c r="T71" s="45">
        <v>67.099999999999994</v>
      </c>
      <c r="U71" s="45">
        <v>66.8</v>
      </c>
      <c r="V71" s="45">
        <v>67</v>
      </c>
      <c r="W71" s="45">
        <v>73.900000000000006</v>
      </c>
      <c r="X71" s="45">
        <v>71.400000000000006</v>
      </c>
      <c r="Y71" s="45">
        <v>65</v>
      </c>
      <c r="Z71" s="45">
        <v>72.2</v>
      </c>
      <c r="AA71" s="45">
        <v>64.900000000000006</v>
      </c>
      <c r="AB71" s="45">
        <v>69.599999999999994</v>
      </c>
      <c r="AC71" s="45">
        <v>65</v>
      </c>
      <c r="AD71" s="45">
        <v>72</v>
      </c>
      <c r="AE71" s="45">
        <v>56</v>
      </c>
      <c r="AF71" s="45">
        <v>56</v>
      </c>
      <c r="AG71" s="51"/>
      <c r="AH71" s="47">
        <f t="shared" si="2"/>
        <v>73.900000000000006</v>
      </c>
      <c r="AI71" s="48">
        <f t="shared" si="3"/>
        <v>56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353.3</v>
      </c>
      <c r="C73" s="65">
        <v>339.8</v>
      </c>
      <c r="D73" s="65">
        <v>340</v>
      </c>
      <c r="E73" s="65">
        <v>338</v>
      </c>
      <c r="F73" s="65">
        <v>350</v>
      </c>
      <c r="G73" s="65">
        <v>369</v>
      </c>
      <c r="H73" s="65">
        <v>333</v>
      </c>
      <c r="I73" s="65">
        <v>336</v>
      </c>
      <c r="J73" s="65">
        <v>319</v>
      </c>
      <c r="K73" s="65">
        <v>321</v>
      </c>
      <c r="L73" s="65">
        <v>332</v>
      </c>
      <c r="M73" s="65">
        <v>326</v>
      </c>
      <c r="N73" s="65">
        <v>337.4</v>
      </c>
      <c r="O73" s="65">
        <v>351</v>
      </c>
      <c r="P73" s="65">
        <v>256</v>
      </c>
      <c r="Q73" s="65">
        <v>350.9</v>
      </c>
      <c r="R73" s="65">
        <v>356</v>
      </c>
      <c r="S73" s="65">
        <v>378.6</v>
      </c>
      <c r="T73" s="65">
        <v>366</v>
      </c>
      <c r="U73" s="65">
        <v>333.6</v>
      </c>
      <c r="V73" s="65">
        <v>335</v>
      </c>
      <c r="W73" s="65">
        <v>351</v>
      </c>
      <c r="X73" s="65">
        <v>340</v>
      </c>
      <c r="Y73" s="65">
        <v>317.8</v>
      </c>
      <c r="Z73" s="65">
        <v>325.39999999999998</v>
      </c>
      <c r="AA73" s="65">
        <v>308</v>
      </c>
      <c r="AB73" s="65">
        <v>326.10000000000002</v>
      </c>
      <c r="AC73" s="65">
        <v>342</v>
      </c>
      <c r="AD73" s="65">
        <v>327</v>
      </c>
      <c r="AE73" s="65">
        <v>335</v>
      </c>
      <c r="AF73" s="65">
        <v>324</v>
      </c>
      <c r="AG73" s="75"/>
      <c r="AH73" s="47">
        <f t="shared" si="2"/>
        <v>378.6</v>
      </c>
      <c r="AI73" s="48">
        <f t="shared" si="3"/>
        <v>256</v>
      </c>
      <c r="AK73" s="49"/>
    </row>
    <row r="74" spans="1:40" x14ac:dyDescent="0.25">
      <c r="A74" s="53" t="s">
        <v>78</v>
      </c>
      <c r="B74" s="65">
        <v>62.4</v>
      </c>
      <c r="C74" s="65">
        <v>62.4</v>
      </c>
      <c r="D74" s="76">
        <v>62</v>
      </c>
      <c r="E74" s="76">
        <v>62</v>
      </c>
      <c r="F74" s="76">
        <v>58.4</v>
      </c>
      <c r="G74" s="76">
        <v>58.1</v>
      </c>
      <c r="H74" s="76">
        <v>60.2</v>
      </c>
      <c r="I74" s="76">
        <v>60</v>
      </c>
      <c r="J74" s="76">
        <v>58.6</v>
      </c>
      <c r="K74" s="76">
        <v>52.7</v>
      </c>
      <c r="L74" s="76">
        <v>58.3</v>
      </c>
      <c r="M74" s="76">
        <v>61.1</v>
      </c>
      <c r="N74" s="76">
        <v>61.1</v>
      </c>
      <c r="O74" s="76">
        <v>63.9</v>
      </c>
      <c r="P74" s="76">
        <v>67.599999999999994</v>
      </c>
      <c r="Q74" s="76">
        <v>66.5</v>
      </c>
      <c r="R74" s="76">
        <v>62.3</v>
      </c>
      <c r="S74" s="76">
        <v>66</v>
      </c>
      <c r="T74" s="76">
        <v>71.2</v>
      </c>
      <c r="U74" s="76">
        <v>69.7</v>
      </c>
      <c r="V74" s="76">
        <v>65</v>
      </c>
      <c r="W74" s="76">
        <v>55</v>
      </c>
      <c r="X74" s="65">
        <v>45.3</v>
      </c>
      <c r="Y74" s="65">
        <v>55.8</v>
      </c>
      <c r="Z74" s="65">
        <v>60.4</v>
      </c>
      <c r="AA74" s="65">
        <v>60.4</v>
      </c>
      <c r="AB74" s="65">
        <v>59.1</v>
      </c>
      <c r="AC74" s="65">
        <v>58</v>
      </c>
      <c r="AD74" s="65">
        <v>58</v>
      </c>
      <c r="AE74" s="65">
        <v>50.8</v>
      </c>
      <c r="AF74" s="65">
        <v>64</v>
      </c>
      <c r="AG74" s="75"/>
      <c r="AH74" s="47">
        <f t="shared" si="2"/>
        <v>71.2</v>
      </c>
      <c r="AI74" s="48">
        <f t="shared" si="3"/>
        <v>45.3</v>
      </c>
      <c r="AK74" s="49"/>
    </row>
    <row r="75" spans="1:40" x14ac:dyDescent="0.25">
      <c r="A75" s="53" t="s">
        <v>79</v>
      </c>
      <c r="B75" s="45">
        <v>85.9</v>
      </c>
      <c r="C75" s="45">
        <v>85.9</v>
      </c>
      <c r="D75" s="45">
        <v>82</v>
      </c>
      <c r="E75" s="45">
        <v>83</v>
      </c>
      <c r="F75" s="45">
        <v>82.8</v>
      </c>
      <c r="G75" s="45">
        <v>90.6</v>
      </c>
      <c r="H75" s="45">
        <v>88.2</v>
      </c>
      <c r="I75" s="45">
        <v>77</v>
      </c>
      <c r="J75" s="45">
        <v>56</v>
      </c>
      <c r="K75" s="45">
        <v>50.1</v>
      </c>
      <c r="L75" s="45">
        <v>49.7</v>
      </c>
      <c r="M75" s="45">
        <v>62.1</v>
      </c>
      <c r="N75" s="45">
        <v>82.2</v>
      </c>
      <c r="O75" s="45">
        <v>76.8</v>
      </c>
      <c r="P75" s="45">
        <v>72.900000000000006</v>
      </c>
      <c r="Q75" s="45">
        <v>86.5</v>
      </c>
      <c r="R75" s="45">
        <v>82.5</v>
      </c>
      <c r="S75" s="45">
        <v>80.2</v>
      </c>
      <c r="T75" s="45">
        <v>86</v>
      </c>
      <c r="U75" s="45">
        <v>81.8</v>
      </c>
      <c r="V75" s="45">
        <v>78</v>
      </c>
      <c r="W75" s="45">
        <v>70.099999999999994</v>
      </c>
      <c r="X75" s="45">
        <v>83.5</v>
      </c>
      <c r="Y75" s="45">
        <v>78.400000000000006</v>
      </c>
      <c r="Z75" s="45">
        <v>81.7</v>
      </c>
      <c r="AA75" s="45">
        <v>81.7</v>
      </c>
      <c r="AB75" s="45">
        <v>66</v>
      </c>
      <c r="AC75" s="45">
        <v>82.8</v>
      </c>
      <c r="AD75" s="45">
        <v>85</v>
      </c>
      <c r="AE75" s="45">
        <v>81</v>
      </c>
      <c r="AF75" s="45">
        <v>90</v>
      </c>
      <c r="AG75" s="75"/>
      <c r="AH75" s="47">
        <f t="shared" ref="AH75:AH117" si="13">MAX(B75:AF75)</f>
        <v>90.6</v>
      </c>
      <c r="AI75" s="48">
        <f t="shared" ref="AI75:AI117" si="14">MIN(B75:AF75)</f>
        <v>49.7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5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13"/>
        <v>5</v>
      </c>
      <c r="AI76" s="48">
        <f t="shared" si="14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13"/>
        <v>0</v>
      </c>
      <c r="AI77" s="48">
        <f t="shared" si="14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3"/>
        <v>0</v>
      </c>
      <c r="AI78" s="48">
        <f t="shared" si="14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3"/>
        <v>0</v>
      </c>
      <c r="AI79" s="48">
        <f t="shared" si="14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13"/>
        <v>0</v>
      </c>
      <c r="AI80" s="48">
        <f t="shared" si="14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13"/>
        <v>0</v>
      </c>
      <c r="AI81" s="48">
        <f t="shared" si="14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" si="15">SUMIF(B71:B81,"&gt;0")</f>
        <v>568.70000000000005</v>
      </c>
      <c r="C82" s="60">
        <f t="shared" ref="C82:AF82" si="16">SUMIF(C71:C81,"&gt;0")</f>
        <v>558</v>
      </c>
      <c r="D82" s="60">
        <f t="shared" si="16"/>
        <v>489</v>
      </c>
      <c r="E82" s="60">
        <f t="shared" si="16"/>
        <v>545</v>
      </c>
      <c r="F82" s="60">
        <f t="shared" si="16"/>
        <v>559.19999999999993</v>
      </c>
      <c r="G82" s="60">
        <f t="shared" si="16"/>
        <v>587.70000000000005</v>
      </c>
      <c r="H82" s="60">
        <f t="shared" si="16"/>
        <v>542.9</v>
      </c>
      <c r="I82" s="60">
        <f t="shared" si="16"/>
        <v>535.5</v>
      </c>
      <c r="J82" s="60">
        <f t="shared" si="16"/>
        <v>500.6</v>
      </c>
      <c r="K82" s="60">
        <f t="shared" si="16"/>
        <v>494.1</v>
      </c>
      <c r="L82" s="60">
        <f t="shared" si="16"/>
        <v>508</v>
      </c>
      <c r="M82" s="60">
        <f t="shared" si="16"/>
        <v>520.20000000000005</v>
      </c>
      <c r="N82" s="60">
        <f t="shared" si="16"/>
        <v>553.30000000000007</v>
      </c>
      <c r="O82" s="60">
        <f t="shared" si="16"/>
        <v>566.79999999999995</v>
      </c>
      <c r="P82" s="60">
        <f t="shared" si="16"/>
        <v>469.9</v>
      </c>
      <c r="Q82" s="60">
        <f t="shared" si="16"/>
        <v>574.79999999999995</v>
      </c>
      <c r="R82" s="60">
        <f t="shared" si="16"/>
        <v>573.6</v>
      </c>
      <c r="S82" s="60">
        <f t="shared" si="16"/>
        <v>593.70000000000005</v>
      </c>
      <c r="T82" s="60">
        <f t="shared" si="16"/>
        <v>595.29999999999995</v>
      </c>
      <c r="U82" s="60">
        <f t="shared" si="16"/>
        <v>556.9</v>
      </c>
      <c r="V82" s="60">
        <f t="shared" si="16"/>
        <v>550</v>
      </c>
      <c r="W82" s="60">
        <f t="shared" si="16"/>
        <v>555</v>
      </c>
      <c r="X82" s="60">
        <f t="shared" si="16"/>
        <v>545.20000000000005</v>
      </c>
      <c r="Y82" s="60">
        <f t="shared" si="16"/>
        <v>522</v>
      </c>
      <c r="Z82" s="60">
        <f t="shared" si="16"/>
        <v>544.69999999999993</v>
      </c>
      <c r="AA82" s="60">
        <f t="shared" si="16"/>
        <v>520</v>
      </c>
      <c r="AB82" s="60">
        <f t="shared" si="16"/>
        <v>525.80000000000007</v>
      </c>
      <c r="AC82" s="60">
        <f t="shared" si="16"/>
        <v>552.79999999999995</v>
      </c>
      <c r="AD82" s="60">
        <f t="shared" si="16"/>
        <v>547</v>
      </c>
      <c r="AE82" s="60">
        <f t="shared" si="16"/>
        <v>527.79999999999995</v>
      </c>
      <c r="AF82" s="60">
        <f t="shared" si="16"/>
        <v>539</v>
      </c>
      <c r="AG82" s="88">
        <f>SUM(AG71:AG81)</f>
        <v>0</v>
      </c>
      <c r="AH82" s="47">
        <f t="shared" si="13"/>
        <v>595.29999999999995</v>
      </c>
      <c r="AI82" s="48">
        <f t="shared" si="14"/>
        <v>469.9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13"/>
        <v>0</v>
      </c>
      <c r="AI83" s="48">
        <f t="shared" si="14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13"/>
        <v>0</v>
      </c>
      <c r="AI84" s="48">
        <f t="shared" si="14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13"/>
        <v>0</v>
      </c>
      <c r="AI85" s="48">
        <f t="shared" si="14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13"/>
        <v>0</v>
      </c>
      <c r="AI86" s="48">
        <f t="shared" si="14"/>
        <v>0</v>
      </c>
    </row>
    <row r="87" spans="1:40" ht="15.75" thickBot="1" x14ac:dyDescent="0.3">
      <c r="A87" s="74" t="s">
        <v>94</v>
      </c>
      <c r="B87" s="95">
        <f t="shared" ref="B87" si="17">B48+B52+B70+B66+B82+B86</f>
        <v>1043.54</v>
      </c>
      <c r="C87" s="95">
        <f t="shared" ref="C87:AG87" si="18">C48+C52+C70+C66+C82+C86</f>
        <v>1032.8399999999999</v>
      </c>
      <c r="D87" s="95">
        <f t="shared" si="18"/>
        <v>943.83999999999992</v>
      </c>
      <c r="E87" s="95">
        <f t="shared" si="18"/>
        <v>999.54</v>
      </c>
      <c r="F87" s="95">
        <f t="shared" si="18"/>
        <v>1016.8399999999999</v>
      </c>
      <c r="G87" s="95">
        <f t="shared" si="18"/>
        <v>1045.6400000000001</v>
      </c>
      <c r="H87" s="95">
        <f t="shared" si="18"/>
        <v>1109.3400000000001</v>
      </c>
      <c r="I87" s="95">
        <f t="shared" si="18"/>
        <v>1158.1399999999999</v>
      </c>
      <c r="J87" s="95">
        <f t="shared" si="18"/>
        <v>1229.6399999999999</v>
      </c>
      <c r="K87" s="95">
        <f t="shared" si="18"/>
        <v>1246.24</v>
      </c>
      <c r="L87" s="95">
        <f t="shared" si="18"/>
        <v>1268.8389999999999</v>
      </c>
      <c r="M87" s="95">
        <f t="shared" si="18"/>
        <v>1258.1690000000001</v>
      </c>
      <c r="N87" s="95">
        <f t="shared" si="18"/>
        <v>1190.739</v>
      </c>
      <c r="O87" s="95">
        <f t="shared" si="18"/>
        <v>1189.6189999999999</v>
      </c>
      <c r="P87" s="95">
        <f t="shared" si="18"/>
        <v>1190.9499999999998</v>
      </c>
      <c r="Q87" s="95">
        <f t="shared" si="18"/>
        <v>1313.3899999999999</v>
      </c>
      <c r="R87" s="95">
        <f t="shared" si="18"/>
        <v>1317.74</v>
      </c>
      <c r="S87" s="95">
        <f t="shared" si="18"/>
        <v>1323.3400000000001</v>
      </c>
      <c r="T87" s="95">
        <f t="shared" si="18"/>
        <v>1363.04</v>
      </c>
      <c r="U87" s="95">
        <f t="shared" si="18"/>
        <v>1344.34</v>
      </c>
      <c r="V87" s="95">
        <f t="shared" si="18"/>
        <v>1323.94</v>
      </c>
      <c r="W87" s="95">
        <f t="shared" si="18"/>
        <v>1149.24</v>
      </c>
      <c r="X87" s="95">
        <f t="shared" si="18"/>
        <v>1144.8400000000001</v>
      </c>
      <c r="Y87" s="95">
        <f t="shared" si="18"/>
        <v>1365.44</v>
      </c>
      <c r="Z87" s="95">
        <f t="shared" si="18"/>
        <v>1421.7399999999998</v>
      </c>
      <c r="AA87" s="95">
        <f t="shared" si="18"/>
        <v>1315.94</v>
      </c>
      <c r="AB87" s="95">
        <f t="shared" si="18"/>
        <v>1238.3400000000001</v>
      </c>
      <c r="AC87" s="95">
        <f t="shared" si="18"/>
        <v>1239.3399999999999</v>
      </c>
      <c r="AD87" s="95">
        <f t="shared" si="18"/>
        <v>1217.8399999999999</v>
      </c>
      <c r="AE87" s="95">
        <f t="shared" si="18"/>
        <v>1120.2399999999998</v>
      </c>
      <c r="AF87" s="95">
        <f t="shared" si="18"/>
        <v>1018.14</v>
      </c>
      <c r="AG87" s="61">
        <f t="shared" si="18"/>
        <v>2065.09</v>
      </c>
      <c r="AH87" s="47">
        <f>MAX(B87:AF87)</f>
        <v>1421.7399999999998</v>
      </c>
      <c r="AI87" s="48">
        <f>MIN(B87:AF87)</f>
        <v>943.83999999999992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>
        <v>80</v>
      </c>
      <c r="L88" s="97">
        <v>150</v>
      </c>
      <c r="M88" s="97">
        <v>150</v>
      </c>
      <c r="N88" s="97">
        <v>150</v>
      </c>
      <c r="O88" s="97">
        <v>150</v>
      </c>
      <c r="P88" s="97">
        <v>100</v>
      </c>
      <c r="Q88" s="97">
        <v>50</v>
      </c>
      <c r="R88" s="97">
        <v>50</v>
      </c>
      <c r="S88" s="97">
        <v>50</v>
      </c>
      <c r="T88" s="97">
        <v>50</v>
      </c>
      <c r="U88" s="97">
        <v>50</v>
      </c>
      <c r="V88" s="97">
        <v>50</v>
      </c>
      <c r="W88" s="97">
        <v>150</v>
      </c>
      <c r="X88" s="97">
        <v>200</v>
      </c>
      <c r="Y88" s="97">
        <v>180</v>
      </c>
      <c r="Z88" s="97">
        <v>180</v>
      </c>
      <c r="AA88" s="97">
        <v>180</v>
      </c>
      <c r="AB88" s="97">
        <v>150</v>
      </c>
      <c r="AC88" s="97"/>
      <c r="AD88" s="97"/>
      <c r="AE88" s="97"/>
      <c r="AF88" s="97"/>
      <c r="AG88" s="88"/>
      <c r="AH88" s="47">
        <f t="shared" si="13"/>
        <v>200</v>
      </c>
      <c r="AI88" s="48">
        <f t="shared" si="14"/>
        <v>50</v>
      </c>
    </row>
    <row r="89" spans="1:40" ht="15.75" thickBot="1" x14ac:dyDescent="0.3">
      <c r="A89" s="74" t="s">
        <v>96</v>
      </c>
      <c r="B89" s="95">
        <f t="shared" ref="B89" si="19">B87+B88</f>
        <v>1043.54</v>
      </c>
      <c r="C89" s="95">
        <f t="shared" ref="C89:AF89" si="20">C87+C88</f>
        <v>1032.8399999999999</v>
      </c>
      <c r="D89" s="95">
        <f t="shared" si="20"/>
        <v>943.83999999999992</v>
      </c>
      <c r="E89" s="95">
        <f t="shared" si="20"/>
        <v>999.54</v>
      </c>
      <c r="F89" s="95">
        <f t="shared" si="20"/>
        <v>1016.8399999999999</v>
      </c>
      <c r="G89" s="95">
        <f t="shared" si="20"/>
        <v>1045.6400000000001</v>
      </c>
      <c r="H89" s="95">
        <f t="shared" si="20"/>
        <v>1109.3400000000001</v>
      </c>
      <c r="I89" s="95">
        <f t="shared" si="20"/>
        <v>1158.1399999999999</v>
      </c>
      <c r="J89" s="95">
        <f t="shared" si="20"/>
        <v>1229.6399999999999</v>
      </c>
      <c r="K89" s="95">
        <f t="shared" si="20"/>
        <v>1326.24</v>
      </c>
      <c r="L89" s="95">
        <f t="shared" si="20"/>
        <v>1418.8389999999999</v>
      </c>
      <c r="M89" s="95">
        <f t="shared" si="20"/>
        <v>1408.1690000000001</v>
      </c>
      <c r="N89" s="95">
        <f t="shared" si="20"/>
        <v>1340.739</v>
      </c>
      <c r="O89" s="95">
        <f t="shared" si="20"/>
        <v>1339.6189999999999</v>
      </c>
      <c r="P89" s="95">
        <f t="shared" si="20"/>
        <v>1290.9499999999998</v>
      </c>
      <c r="Q89" s="95">
        <f t="shared" si="20"/>
        <v>1363.3899999999999</v>
      </c>
      <c r="R89" s="95">
        <f t="shared" si="20"/>
        <v>1367.74</v>
      </c>
      <c r="S89" s="95">
        <f t="shared" si="20"/>
        <v>1373.3400000000001</v>
      </c>
      <c r="T89" s="95">
        <f t="shared" si="20"/>
        <v>1413.04</v>
      </c>
      <c r="U89" s="95">
        <f t="shared" si="20"/>
        <v>1394.34</v>
      </c>
      <c r="V89" s="95">
        <f t="shared" si="20"/>
        <v>1373.94</v>
      </c>
      <c r="W89" s="95">
        <f t="shared" si="20"/>
        <v>1299.24</v>
      </c>
      <c r="X89" s="95">
        <f t="shared" si="20"/>
        <v>1344.8400000000001</v>
      </c>
      <c r="Y89" s="95">
        <f t="shared" si="20"/>
        <v>1545.44</v>
      </c>
      <c r="Z89" s="95">
        <f t="shared" si="20"/>
        <v>1601.7399999999998</v>
      </c>
      <c r="AA89" s="95">
        <f t="shared" si="20"/>
        <v>1495.94</v>
      </c>
      <c r="AB89" s="95">
        <f t="shared" si="20"/>
        <v>1388.3400000000001</v>
      </c>
      <c r="AC89" s="95">
        <f t="shared" si="20"/>
        <v>1239.3399999999999</v>
      </c>
      <c r="AD89" s="95">
        <f t="shared" si="20"/>
        <v>1217.8399999999999</v>
      </c>
      <c r="AE89" s="95">
        <f t="shared" si="20"/>
        <v>1120.2399999999998</v>
      </c>
      <c r="AF89" s="95">
        <f t="shared" si="20"/>
        <v>1018.14</v>
      </c>
      <c r="AG89" s="88">
        <f>AG86+AG82+AG70+AG66+AG48+AG88</f>
        <v>1526.99</v>
      </c>
      <c r="AH89" s="47">
        <f t="shared" si="13"/>
        <v>1601.7399999999998</v>
      </c>
      <c r="AI89" s="48">
        <f t="shared" si="14"/>
        <v>943.83999999999992</v>
      </c>
    </row>
    <row r="90" spans="1:40" ht="15.75" thickBot="1" x14ac:dyDescent="0.3">
      <c r="A90" s="74" t="s">
        <v>97</v>
      </c>
      <c r="B90" s="95">
        <f t="shared" ref="B90" si="21">B89-B97</f>
        <v>1043.54</v>
      </c>
      <c r="C90" s="95">
        <f t="shared" ref="C90:AF90" si="22">C89-C97</f>
        <v>1032.8399999999999</v>
      </c>
      <c r="D90" s="95">
        <f t="shared" si="22"/>
        <v>943.83999999999992</v>
      </c>
      <c r="E90" s="95">
        <f t="shared" si="22"/>
        <v>999.54</v>
      </c>
      <c r="F90" s="95">
        <f t="shared" si="22"/>
        <v>1016.8399999999999</v>
      </c>
      <c r="G90" s="95">
        <f t="shared" si="22"/>
        <v>1045.6400000000001</v>
      </c>
      <c r="H90" s="95">
        <f t="shared" si="22"/>
        <v>1109.3400000000001</v>
      </c>
      <c r="I90" s="95">
        <f t="shared" si="22"/>
        <v>1158.1399999999999</v>
      </c>
      <c r="J90" s="95">
        <f t="shared" si="22"/>
        <v>1229.6399999999999</v>
      </c>
      <c r="K90" s="95">
        <f t="shared" si="22"/>
        <v>1326.24</v>
      </c>
      <c r="L90" s="95">
        <f t="shared" si="22"/>
        <v>1418.8389999999999</v>
      </c>
      <c r="M90" s="95">
        <f t="shared" si="22"/>
        <v>1408.1690000000001</v>
      </c>
      <c r="N90" s="95">
        <f t="shared" si="22"/>
        <v>1340.739</v>
      </c>
      <c r="O90" s="95">
        <f t="shared" si="22"/>
        <v>1339.6189999999999</v>
      </c>
      <c r="P90" s="95">
        <f t="shared" si="22"/>
        <v>1290.9499999999998</v>
      </c>
      <c r="Q90" s="95">
        <f t="shared" si="22"/>
        <v>1363.3899999999999</v>
      </c>
      <c r="R90" s="95">
        <f t="shared" si="22"/>
        <v>1367.74</v>
      </c>
      <c r="S90" s="95">
        <f t="shared" si="22"/>
        <v>1373.3400000000001</v>
      </c>
      <c r="T90" s="95">
        <f t="shared" si="22"/>
        <v>1413.04</v>
      </c>
      <c r="U90" s="95">
        <f t="shared" si="22"/>
        <v>1394.34</v>
      </c>
      <c r="V90" s="95">
        <f t="shared" si="22"/>
        <v>1373.94</v>
      </c>
      <c r="W90" s="95">
        <f t="shared" si="22"/>
        <v>1299.24</v>
      </c>
      <c r="X90" s="95">
        <f t="shared" si="22"/>
        <v>1344.8400000000001</v>
      </c>
      <c r="Y90" s="95">
        <f t="shared" si="22"/>
        <v>1545.44</v>
      </c>
      <c r="Z90" s="95">
        <f t="shared" si="22"/>
        <v>1601.7399999999998</v>
      </c>
      <c r="AA90" s="95">
        <f t="shared" si="22"/>
        <v>1495.94</v>
      </c>
      <c r="AB90" s="95">
        <f t="shared" si="22"/>
        <v>1388.3400000000001</v>
      </c>
      <c r="AC90" s="95">
        <f t="shared" si="22"/>
        <v>1239.3399999999999</v>
      </c>
      <c r="AD90" s="95">
        <f t="shared" si="22"/>
        <v>1217.8399999999999</v>
      </c>
      <c r="AE90" s="95">
        <f t="shared" si="22"/>
        <v>1120.2399999999998</v>
      </c>
      <c r="AF90" s="95">
        <f t="shared" si="22"/>
        <v>1018.14</v>
      </c>
      <c r="AG90" s="88"/>
      <c r="AH90" s="47">
        <f t="shared" si="13"/>
        <v>1601.7399999999998</v>
      </c>
      <c r="AI90" s="48">
        <f t="shared" si="14"/>
        <v>943.83999999999992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13"/>
        <v>0</v>
      </c>
      <c r="AI91" s="48">
        <f t="shared" si="14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13"/>
        <v>0</v>
      </c>
      <c r="AI92" s="48">
        <f t="shared" si="14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13"/>
        <v>0</v>
      </c>
      <c r="AI93" s="48">
        <f t="shared" si="14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13"/>
        <v>0</v>
      </c>
      <c r="AI94" s="48">
        <f t="shared" si="14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3"/>
        <v>0</v>
      </c>
      <c r="AI95" s="48">
        <f t="shared" si="14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13"/>
        <v>0</v>
      </c>
      <c r="AI96" s="48">
        <f t="shared" si="14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13"/>
        <v>0</v>
      </c>
      <c r="AI97" s="48">
        <f t="shared" si="14"/>
        <v>0</v>
      </c>
      <c r="AK97" s="49"/>
    </row>
    <row r="98" spans="1:37" ht="15.75" thickBot="1" x14ac:dyDescent="0.3">
      <c r="A98" s="74" t="s">
        <v>102</v>
      </c>
      <c r="B98" s="60">
        <f t="shared" ref="B98" si="23">B82-B97</f>
        <v>568.70000000000005</v>
      </c>
      <c r="C98" s="60">
        <f t="shared" ref="C98:AF98" si="24">C82-C97</f>
        <v>558</v>
      </c>
      <c r="D98" s="60">
        <f t="shared" si="24"/>
        <v>489</v>
      </c>
      <c r="E98" s="60">
        <f t="shared" si="24"/>
        <v>545</v>
      </c>
      <c r="F98" s="60">
        <f t="shared" si="24"/>
        <v>559.19999999999993</v>
      </c>
      <c r="G98" s="60">
        <f t="shared" si="24"/>
        <v>587.70000000000005</v>
      </c>
      <c r="H98" s="60">
        <f t="shared" si="24"/>
        <v>542.9</v>
      </c>
      <c r="I98" s="60">
        <f t="shared" si="24"/>
        <v>535.5</v>
      </c>
      <c r="J98" s="60">
        <f t="shared" si="24"/>
        <v>500.6</v>
      </c>
      <c r="K98" s="60">
        <f t="shared" si="24"/>
        <v>494.1</v>
      </c>
      <c r="L98" s="60">
        <f t="shared" si="24"/>
        <v>508</v>
      </c>
      <c r="M98" s="60">
        <f t="shared" si="24"/>
        <v>520.20000000000005</v>
      </c>
      <c r="N98" s="60">
        <f t="shared" si="24"/>
        <v>553.30000000000007</v>
      </c>
      <c r="O98" s="60">
        <f t="shared" si="24"/>
        <v>566.79999999999995</v>
      </c>
      <c r="P98" s="60">
        <f t="shared" si="24"/>
        <v>469.9</v>
      </c>
      <c r="Q98" s="60">
        <f t="shared" si="24"/>
        <v>574.79999999999995</v>
      </c>
      <c r="R98" s="60">
        <f t="shared" si="24"/>
        <v>573.6</v>
      </c>
      <c r="S98" s="60">
        <f t="shared" si="24"/>
        <v>593.70000000000005</v>
      </c>
      <c r="T98" s="60">
        <f t="shared" si="24"/>
        <v>595.29999999999995</v>
      </c>
      <c r="U98" s="60">
        <f t="shared" si="24"/>
        <v>556.9</v>
      </c>
      <c r="V98" s="60">
        <f t="shared" si="24"/>
        <v>550</v>
      </c>
      <c r="W98" s="60">
        <f t="shared" si="24"/>
        <v>555</v>
      </c>
      <c r="X98" s="60">
        <f t="shared" si="24"/>
        <v>545.20000000000005</v>
      </c>
      <c r="Y98" s="60">
        <f t="shared" si="24"/>
        <v>522</v>
      </c>
      <c r="Z98" s="60">
        <f t="shared" si="24"/>
        <v>544.69999999999993</v>
      </c>
      <c r="AA98" s="60">
        <f t="shared" si="24"/>
        <v>520</v>
      </c>
      <c r="AB98" s="60">
        <f t="shared" si="24"/>
        <v>525.80000000000007</v>
      </c>
      <c r="AC98" s="60">
        <f t="shared" si="24"/>
        <v>552.79999999999995</v>
      </c>
      <c r="AD98" s="60">
        <f t="shared" si="24"/>
        <v>547</v>
      </c>
      <c r="AE98" s="60">
        <f t="shared" si="24"/>
        <v>527.79999999999995</v>
      </c>
      <c r="AF98" s="60">
        <f t="shared" si="24"/>
        <v>539</v>
      </c>
      <c r="AG98" s="88"/>
      <c r="AH98" s="47">
        <f t="shared" si="13"/>
        <v>595.29999999999995</v>
      </c>
      <c r="AI98" s="48">
        <f t="shared" si="14"/>
        <v>469.9</v>
      </c>
    </row>
    <row r="99" spans="1:37" x14ac:dyDescent="0.25">
      <c r="A99" s="100" t="s">
        <v>103</v>
      </c>
      <c r="B99" s="101">
        <v>50.005000000000003</v>
      </c>
      <c r="C99" s="101">
        <v>49.933999999999997</v>
      </c>
      <c r="D99" s="101">
        <v>49.970999999999997</v>
      </c>
      <c r="E99" s="101">
        <v>50.021999999999998</v>
      </c>
      <c r="F99" s="101">
        <v>49.957000000000001</v>
      </c>
      <c r="G99" s="101">
        <v>50.064</v>
      </c>
      <c r="H99" s="101">
        <v>50.097000000000001</v>
      </c>
      <c r="I99" s="101">
        <v>50.042000000000002</v>
      </c>
      <c r="J99" s="101">
        <v>50.054000000000002</v>
      </c>
      <c r="K99" s="101">
        <v>49.991</v>
      </c>
      <c r="L99" s="101">
        <v>50.018000000000001</v>
      </c>
      <c r="M99" s="101">
        <v>50.035400000000003</v>
      </c>
      <c r="N99" s="101">
        <v>50.033999999999999</v>
      </c>
      <c r="O99" s="101">
        <v>50.048000000000002</v>
      </c>
      <c r="P99" s="101">
        <v>49.96</v>
      </c>
      <c r="Q99" s="101">
        <v>50.04</v>
      </c>
      <c r="R99" s="101">
        <v>50.02</v>
      </c>
      <c r="S99" s="101">
        <v>50.037999999999997</v>
      </c>
      <c r="T99" s="101">
        <v>50.145000000000003</v>
      </c>
      <c r="U99" s="101">
        <v>49.866999999999997</v>
      </c>
      <c r="V99" s="101">
        <v>50.140999999999998</v>
      </c>
      <c r="W99" s="101">
        <v>50.07</v>
      </c>
      <c r="X99" s="101">
        <v>50.015999999999998</v>
      </c>
      <c r="Y99" s="101">
        <v>49.991</v>
      </c>
      <c r="Z99" s="101">
        <v>50.036999999999999</v>
      </c>
      <c r="AA99" s="101">
        <v>50.11</v>
      </c>
      <c r="AB99" s="101">
        <v>50.048000000000002</v>
      </c>
      <c r="AC99" s="101">
        <v>50.03</v>
      </c>
      <c r="AD99" s="101">
        <v>50.094000000000001</v>
      </c>
      <c r="AE99" s="101">
        <v>50.091000000000001</v>
      </c>
      <c r="AF99" s="101">
        <v>50.029000000000003</v>
      </c>
      <c r="AG99" s="102"/>
      <c r="AH99" s="47">
        <f t="shared" si="13"/>
        <v>50.145000000000003</v>
      </c>
      <c r="AI99" s="48">
        <f t="shared" si="14"/>
        <v>49.866999999999997</v>
      </c>
    </row>
    <row r="100" spans="1:37" x14ac:dyDescent="0.25">
      <c r="A100" s="103" t="s">
        <v>104</v>
      </c>
      <c r="B100" s="65">
        <v>128.80000000000001</v>
      </c>
      <c r="C100" s="65">
        <v>129.5</v>
      </c>
      <c r="D100" s="65">
        <v>129.5</v>
      </c>
      <c r="E100" s="65">
        <v>129.69999999999999</v>
      </c>
      <c r="F100" s="65">
        <v>129</v>
      </c>
      <c r="G100" s="65">
        <v>127.9</v>
      </c>
      <c r="H100" s="65">
        <v>129.9</v>
      </c>
      <c r="I100" s="65">
        <v>127.5</v>
      </c>
      <c r="J100" s="65">
        <v>126.1</v>
      </c>
      <c r="K100" s="65">
        <v>125.8</v>
      </c>
      <c r="L100" s="65">
        <v>125.4</v>
      </c>
      <c r="M100" s="65">
        <v>125.8</v>
      </c>
      <c r="N100" s="65">
        <v>126.7</v>
      </c>
      <c r="O100" s="65">
        <v>126.7</v>
      </c>
      <c r="P100" s="65">
        <v>125.7</v>
      </c>
      <c r="Q100" s="65">
        <v>125.4</v>
      </c>
      <c r="R100" s="65">
        <v>125.9</v>
      </c>
      <c r="S100" s="65">
        <v>124.5</v>
      </c>
      <c r="T100" s="65">
        <v>125</v>
      </c>
      <c r="U100" s="65">
        <v>125.7</v>
      </c>
      <c r="V100" s="65">
        <v>129.80000000000001</v>
      </c>
      <c r="W100" s="65">
        <v>129.9</v>
      </c>
      <c r="X100" s="65">
        <v>129.80000000000001</v>
      </c>
      <c r="Y100" s="65">
        <v>129.30000000000001</v>
      </c>
      <c r="Z100" s="65">
        <v>129.19999999999999</v>
      </c>
      <c r="AA100" s="65">
        <v>129.19999999999999</v>
      </c>
      <c r="AB100" s="65">
        <v>130.69999999999999</v>
      </c>
      <c r="AC100" s="65">
        <v>131.4</v>
      </c>
      <c r="AD100" s="65">
        <v>129.4</v>
      </c>
      <c r="AE100" s="65">
        <v>130.4</v>
      </c>
      <c r="AF100" s="65">
        <v>129.69999999999999</v>
      </c>
      <c r="AG100" s="104"/>
      <c r="AH100" s="47">
        <f t="shared" si="13"/>
        <v>131.4</v>
      </c>
      <c r="AI100" s="48">
        <f t="shared" si="14"/>
        <v>124.5</v>
      </c>
    </row>
    <row r="101" spans="1:37" x14ac:dyDescent="0.25">
      <c r="A101" s="103" t="s">
        <v>105</v>
      </c>
      <c r="B101" s="65">
        <v>131.9</v>
      </c>
      <c r="C101" s="65">
        <v>132.9</v>
      </c>
      <c r="D101" s="65">
        <v>132.9</v>
      </c>
      <c r="E101" s="65">
        <v>132.80000000000001</v>
      </c>
      <c r="F101" s="65">
        <v>132.4</v>
      </c>
      <c r="G101" s="65">
        <v>131.1</v>
      </c>
      <c r="H101" s="65">
        <v>132.80000000000001</v>
      </c>
      <c r="I101" s="65">
        <v>130.30000000000001</v>
      </c>
      <c r="J101" s="65">
        <v>128.9</v>
      </c>
      <c r="K101" s="65">
        <v>128.19999999999999</v>
      </c>
      <c r="L101" s="65">
        <v>127.5</v>
      </c>
      <c r="M101" s="65">
        <v>127.87</v>
      </c>
      <c r="N101" s="65">
        <v>129.6</v>
      </c>
      <c r="O101" s="65">
        <v>129.6</v>
      </c>
      <c r="P101" s="65">
        <v>128.30000000000001</v>
      </c>
      <c r="Q101" s="65">
        <v>128.19999999999999</v>
      </c>
      <c r="R101" s="65">
        <v>128.69999999999999</v>
      </c>
      <c r="S101" s="65">
        <v>127.7</v>
      </c>
      <c r="T101" s="65">
        <v>127.9</v>
      </c>
      <c r="U101" s="65">
        <v>128.4</v>
      </c>
      <c r="V101" s="65">
        <v>131.4</v>
      </c>
      <c r="W101" s="65">
        <v>132.4</v>
      </c>
      <c r="X101" s="65">
        <v>131.9</v>
      </c>
      <c r="Y101" s="65">
        <v>131.19999999999999</v>
      </c>
      <c r="Z101" s="65">
        <v>131.19999999999999</v>
      </c>
      <c r="AA101" s="65">
        <v>131.30000000000001</v>
      </c>
      <c r="AB101" s="65">
        <v>132.80000000000001</v>
      </c>
      <c r="AC101" s="65">
        <v>133.80000000000001</v>
      </c>
      <c r="AD101" s="65">
        <v>131.9</v>
      </c>
      <c r="AE101" s="65">
        <v>133.80000000000001</v>
      </c>
      <c r="AF101" s="65">
        <v>132.80000000000001</v>
      </c>
      <c r="AG101" s="104"/>
      <c r="AH101" s="47">
        <f t="shared" si="13"/>
        <v>133.80000000000001</v>
      </c>
      <c r="AI101" s="48">
        <f t="shared" si="14"/>
        <v>127.5</v>
      </c>
    </row>
    <row r="102" spans="1:37" x14ac:dyDescent="0.25">
      <c r="A102" s="103" t="s">
        <v>106</v>
      </c>
      <c r="B102" s="65">
        <v>131.69999999999999</v>
      </c>
      <c r="C102" s="65">
        <v>131.5</v>
      </c>
      <c r="D102" s="65">
        <v>131.5</v>
      </c>
      <c r="E102" s="65">
        <v>131.6</v>
      </c>
      <c r="F102" s="65">
        <v>131.19999999999999</v>
      </c>
      <c r="G102" s="65">
        <v>129.9</v>
      </c>
      <c r="H102" s="65">
        <v>132.1</v>
      </c>
      <c r="I102" s="65">
        <v>129.69999999999999</v>
      </c>
      <c r="J102" s="65">
        <v>125.8</v>
      </c>
      <c r="K102" s="65">
        <v>129</v>
      </c>
      <c r="L102" s="65">
        <v>126.3</v>
      </c>
      <c r="M102" s="65">
        <v>128.6</v>
      </c>
      <c r="N102" s="65">
        <v>129.69999999999999</v>
      </c>
      <c r="O102" s="65">
        <v>129.69999999999999</v>
      </c>
      <c r="P102" s="65">
        <v>127.4</v>
      </c>
      <c r="Q102" s="65">
        <v>129.4</v>
      </c>
      <c r="R102" s="65">
        <v>128.4</v>
      </c>
      <c r="S102" s="65">
        <v>128</v>
      </c>
      <c r="T102" s="65">
        <v>124.6</v>
      </c>
      <c r="U102" s="65">
        <v>126.9</v>
      </c>
      <c r="V102" s="65">
        <v>129.6</v>
      </c>
      <c r="W102" s="65">
        <v>131.6</v>
      </c>
      <c r="X102" s="65">
        <v>130</v>
      </c>
      <c r="Y102" s="65">
        <v>126.7</v>
      </c>
      <c r="Z102" s="65">
        <v>129</v>
      </c>
      <c r="AA102" s="65">
        <v>130.5</v>
      </c>
      <c r="AB102" s="65">
        <v>128.69999999999999</v>
      </c>
      <c r="AC102" s="65">
        <v>127.8</v>
      </c>
      <c r="AD102" s="65">
        <v>128</v>
      </c>
      <c r="AE102" s="65">
        <v>130.19999999999999</v>
      </c>
      <c r="AF102" s="65">
        <v>129.5</v>
      </c>
      <c r="AG102" s="104"/>
      <c r="AH102" s="47">
        <f t="shared" si="13"/>
        <v>132.1</v>
      </c>
      <c r="AI102" s="48">
        <f t="shared" si="14"/>
        <v>124.6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13"/>
        <v>0</v>
      </c>
      <c r="AI103" s="48">
        <f t="shared" si="14"/>
        <v>0</v>
      </c>
    </row>
    <row r="104" spans="1:37" x14ac:dyDescent="0.25">
      <c r="A104" s="105" t="s">
        <v>108</v>
      </c>
      <c r="B104" s="106">
        <v>133.1</v>
      </c>
      <c r="C104" s="106">
        <v>136.19999999999999</v>
      </c>
      <c r="D104" s="106">
        <v>136.19999999999999</v>
      </c>
      <c r="E104" s="106">
        <v>131.6</v>
      </c>
      <c r="F104" s="106">
        <v>130.4</v>
      </c>
      <c r="G104" s="106">
        <v>134.5</v>
      </c>
      <c r="H104" s="106">
        <v>137.30000000000001</v>
      </c>
      <c r="I104" s="106">
        <v>134</v>
      </c>
      <c r="J104" s="106">
        <v>131.69999999999999</v>
      </c>
      <c r="K104" s="106">
        <v>133.1</v>
      </c>
      <c r="L104" s="106">
        <v>133.30000000000001</v>
      </c>
      <c r="M104" s="106">
        <v>134.19999999999999</v>
      </c>
      <c r="N104" s="106">
        <v>134.69999999999999</v>
      </c>
      <c r="O104" s="106">
        <v>134.69999999999999</v>
      </c>
      <c r="P104" s="106">
        <v>130.80000000000001</v>
      </c>
      <c r="Q104" s="106">
        <v>131.69999999999999</v>
      </c>
      <c r="R104" s="106">
        <v>134.80000000000001</v>
      </c>
      <c r="S104" s="106">
        <v>131.6</v>
      </c>
      <c r="T104" s="106">
        <v>131.80000000000001</v>
      </c>
      <c r="U104" s="106">
        <v>135.30000000000001</v>
      </c>
      <c r="V104" s="106">
        <v>135.1</v>
      </c>
      <c r="W104" s="106">
        <v>135.19999999999999</v>
      </c>
      <c r="X104" s="106">
        <v>135.19999999999999</v>
      </c>
      <c r="Y104" s="106">
        <v>135.9</v>
      </c>
      <c r="Z104" s="106">
        <v>135.30000000000001</v>
      </c>
      <c r="AA104" s="106">
        <v>132.80000000000001</v>
      </c>
      <c r="AB104" s="106">
        <v>134.6</v>
      </c>
      <c r="AC104" s="106">
        <v>135</v>
      </c>
      <c r="AD104" s="106">
        <v>133.1</v>
      </c>
      <c r="AE104" s="106">
        <v>135.69999999999999</v>
      </c>
      <c r="AF104" s="106">
        <v>132.1</v>
      </c>
      <c r="AG104" s="107"/>
      <c r="AH104" s="47">
        <f t="shared" si="13"/>
        <v>137.30000000000001</v>
      </c>
      <c r="AI104" s="48">
        <f t="shared" si="14"/>
        <v>130.4</v>
      </c>
    </row>
    <row r="105" spans="1:37" x14ac:dyDescent="0.25">
      <c r="A105" s="103" t="s">
        <v>109</v>
      </c>
      <c r="B105" s="65">
        <v>136.4</v>
      </c>
      <c r="C105" s="65">
        <v>134.6</v>
      </c>
      <c r="D105" s="65">
        <v>134.6</v>
      </c>
      <c r="E105" s="65">
        <v>134.80000000000001</v>
      </c>
      <c r="F105" s="65">
        <v>133</v>
      </c>
      <c r="G105" s="65">
        <v>132.5</v>
      </c>
      <c r="H105" s="65">
        <v>132</v>
      </c>
      <c r="I105" s="65">
        <v>131.1</v>
      </c>
      <c r="J105" s="65">
        <v>130.4</v>
      </c>
      <c r="K105" s="65">
        <v>130</v>
      </c>
      <c r="L105" s="65">
        <v>132</v>
      </c>
      <c r="M105" s="65">
        <v>128.80000000000001</v>
      </c>
      <c r="N105" s="65">
        <v>131</v>
      </c>
      <c r="O105" s="65">
        <v>131</v>
      </c>
      <c r="P105" s="65">
        <v>130.80000000000001</v>
      </c>
      <c r="Q105" s="65">
        <v>131.1</v>
      </c>
      <c r="R105" s="65">
        <v>132.4</v>
      </c>
      <c r="S105" s="65">
        <v>133.69999999999999</v>
      </c>
      <c r="T105" s="65">
        <v>134.9</v>
      </c>
      <c r="U105" s="65">
        <v>132</v>
      </c>
      <c r="V105" s="65">
        <v>133</v>
      </c>
      <c r="W105" s="65">
        <v>130</v>
      </c>
      <c r="X105" s="65">
        <v>133.9</v>
      </c>
      <c r="Y105" s="65">
        <v>129.19999999999999</v>
      </c>
      <c r="Z105" s="65">
        <v>127.7</v>
      </c>
      <c r="AA105" s="65">
        <v>130.4</v>
      </c>
      <c r="AB105" s="65">
        <v>127.2</v>
      </c>
      <c r="AC105" s="65">
        <v>131.6</v>
      </c>
      <c r="AD105" s="65">
        <v>128</v>
      </c>
      <c r="AE105" s="65">
        <v>134.19999999999999</v>
      </c>
      <c r="AF105" s="65">
        <v>136.6</v>
      </c>
      <c r="AG105" s="104"/>
      <c r="AH105" s="47">
        <f t="shared" si="13"/>
        <v>136.6</v>
      </c>
      <c r="AI105" s="48">
        <f t="shared" si="14"/>
        <v>127.2</v>
      </c>
    </row>
    <row r="106" spans="1:37" ht="15.75" thickBot="1" x14ac:dyDescent="0.3">
      <c r="A106" s="103" t="s">
        <v>110</v>
      </c>
      <c r="B106" s="92">
        <v>66.2</v>
      </c>
      <c r="C106" s="92">
        <v>66.8</v>
      </c>
      <c r="D106" s="92">
        <v>66.8</v>
      </c>
      <c r="E106" s="92">
        <v>66.7</v>
      </c>
      <c r="F106" s="92">
        <v>66.400000000000006</v>
      </c>
      <c r="G106" s="92">
        <v>65.900000000000006</v>
      </c>
      <c r="H106" s="92">
        <v>66.599999999999994</v>
      </c>
      <c r="I106" s="92">
        <v>65.2</v>
      </c>
      <c r="J106" s="92"/>
      <c r="K106" s="92">
        <v>64.400000000000006</v>
      </c>
      <c r="L106" s="92">
        <v>64</v>
      </c>
      <c r="M106" s="92">
        <v>63.9</v>
      </c>
      <c r="N106" s="92">
        <v>64.900000000000006</v>
      </c>
      <c r="O106" s="92">
        <v>64.900000000000006</v>
      </c>
      <c r="P106" s="92">
        <v>64.599999999999994</v>
      </c>
      <c r="Q106" s="92">
        <v>64.5</v>
      </c>
      <c r="R106" s="92">
        <v>64.7</v>
      </c>
      <c r="S106" s="92">
        <v>64.5</v>
      </c>
      <c r="T106" s="92">
        <v>64.400000000000006</v>
      </c>
      <c r="U106" s="92">
        <v>64.599999999999994</v>
      </c>
      <c r="V106" s="92">
        <v>65.8</v>
      </c>
      <c r="W106" s="92">
        <v>66.3</v>
      </c>
      <c r="X106" s="92">
        <v>65.900000000000006</v>
      </c>
      <c r="Y106" s="92">
        <v>65.7</v>
      </c>
      <c r="Z106" s="92">
        <v>65.7</v>
      </c>
      <c r="AA106" s="92">
        <v>65.7</v>
      </c>
      <c r="AB106" s="92">
        <v>66.599999999999994</v>
      </c>
      <c r="AC106" s="92">
        <v>67.099999999999994</v>
      </c>
      <c r="AD106" s="92">
        <v>65.900000000000006</v>
      </c>
      <c r="AE106" s="92">
        <v>66.900000000000006</v>
      </c>
      <c r="AF106" s="92">
        <v>66.5</v>
      </c>
      <c r="AG106" s="108"/>
      <c r="AH106" s="47">
        <f t="shared" si="13"/>
        <v>67.099999999999994</v>
      </c>
      <c r="AI106" s="48">
        <f t="shared" si="14"/>
        <v>63.9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13"/>
        <v>0</v>
      </c>
      <c r="AI107" s="48">
        <f t="shared" si="14"/>
        <v>0</v>
      </c>
    </row>
    <row r="108" spans="1:37" ht="15.75" thickBot="1" x14ac:dyDescent="0.3">
      <c r="A108" s="110" t="s">
        <v>112</v>
      </c>
      <c r="B108" s="111">
        <f t="shared" ref="B108" si="25">SUM(B18,B24,B27:B28,B56,B58:B59,B61,B63,B109:B113,B135,B141,B147,B156,B158,B170,B177,B180:B181,B188,B190,B192,B196:B198,B200:B202,B207,B213:B214,B216:B218,B226,B231)</f>
        <v>122.9</v>
      </c>
      <c r="C108" s="111">
        <f t="shared" ref="C108:AF108" si="26">SUM(C18,C24,C27:C28,C56,C58:C59,C61,C63,C109:C113,C135,C141,C147,C156,C158,C170,C177,C180:C181,C188,C190,C192,C196:C198,C200:C202,C207,C213:C214,C216:C218,C226,C231)</f>
        <v>114.94</v>
      </c>
      <c r="D108" s="111">
        <f t="shared" si="26"/>
        <v>108.03999999999999</v>
      </c>
      <c r="E108" s="111">
        <f t="shared" si="26"/>
        <v>110.43999999999997</v>
      </c>
      <c r="F108" s="111">
        <f t="shared" si="26"/>
        <v>117.03999999999999</v>
      </c>
      <c r="G108" s="111">
        <f t="shared" si="26"/>
        <v>152.13999999999999</v>
      </c>
      <c r="H108" s="111">
        <f t="shared" si="26"/>
        <v>173.94</v>
      </c>
      <c r="I108" s="111">
        <f t="shared" si="26"/>
        <v>205.54</v>
      </c>
      <c r="J108" s="111">
        <f t="shared" si="26"/>
        <v>255.94</v>
      </c>
      <c r="K108" s="111">
        <f t="shared" si="26"/>
        <v>297.14</v>
      </c>
      <c r="L108" s="111">
        <f t="shared" si="26"/>
        <v>319.74</v>
      </c>
      <c r="M108" s="111">
        <f t="shared" si="26"/>
        <v>324.27000000000004</v>
      </c>
      <c r="N108" s="111">
        <f t="shared" si="26"/>
        <v>293.24</v>
      </c>
      <c r="O108" s="111">
        <f t="shared" si="26"/>
        <v>280.21999999999997</v>
      </c>
      <c r="P108" s="111">
        <v>42</v>
      </c>
      <c r="Q108" s="111">
        <f t="shared" si="26"/>
        <v>262.54999999999995</v>
      </c>
      <c r="R108" s="111">
        <f t="shared" si="26"/>
        <v>262.5</v>
      </c>
      <c r="S108" s="111">
        <f t="shared" si="26"/>
        <v>235</v>
      </c>
      <c r="T108" s="111">
        <f t="shared" si="26"/>
        <v>243.2</v>
      </c>
      <c r="U108" s="111">
        <f t="shared" si="26"/>
        <v>238.89999999999998</v>
      </c>
      <c r="V108" s="111">
        <f t="shared" si="26"/>
        <v>229.4</v>
      </c>
      <c r="W108" s="111">
        <f t="shared" si="26"/>
        <v>240.7</v>
      </c>
      <c r="X108" s="111">
        <f t="shared" si="26"/>
        <v>262.3</v>
      </c>
      <c r="Y108" s="111">
        <f t="shared" si="26"/>
        <v>305.90000000000003</v>
      </c>
      <c r="Z108" s="111">
        <f t="shared" si="26"/>
        <v>326.70000000000005</v>
      </c>
      <c r="AA108" s="111">
        <f t="shared" si="26"/>
        <v>305.5</v>
      </c>
      <c r="AB108" s="111">
        <f t="shared" si="26"/>
        <v>289.5</v>
      </c>
      <c r="AC108" s="111">
        <f t="shared" si="26"/>
        <v>259.60000000000002</v>
      </c>
      <c r="AD108" s="111">
        <f t="shared" si="26"/>
        <v>230.4</v>
      </c>
      <c r="AE108" s="111">
        <f t="shared" si="26"/>
        <v>145.69999999999999</v>
      </c>
      <c r="AF108" s="111">
        <f t="shared" si="26"/>
        <v>119.7</v>
      </c>
      <c r="AG108" s="112"/>
      <c r="AH108" s="47">
        <f t="shared" si="13"/>
        <v>326.70000000000005</v>
      </c>
      <c r="AI108" s="48">
        <f t="shared" si="14"/>
        <v>42</v>
      </c>
    </row>
    <row r="109" spans="1:37" x14ac:dyDescent="0.25">
      <c r="A109" s="100" t="s">
        <v>113</v>
      </c>
      <c r="B109" s="113">
        <v>-24.3</v>
      </c>
      <c r="C109" s="113">
        <v>-18.3</v>
      </c>
      <c r="D109" s="113">
        <v>-17</v>
      </c>
      <c r="E109" s="113">
        <v>-18.899999999999999</v>
      </c>
      <c r="F109" s="113">
        <v>-22.3</v>
      </c>
      <c r="G109" s="113">
        <v>-18.899999999999999</v>
      </c>
      <c r="H109" s="113">
        <v>-7.3</v>
      </c>
      <c r="I109" s="113">
        <v>-5.9</v>
      </c>
      <c r="J109" s="113">
        <v>6.5</v>
      </c>
      <c r="K109" s="113">
        <v>15.4</v>
      </c>
      <c r="L109" s="113">
        <v>18.100000000000001</v>
      </c>
      <c r="M109" s="113">
        <v>22.6</v>
      </c>
      <c r="N109" s="113">
        <v>12.9</v>
      </c>
      <c r="O109" s="113">
        <v>14</v>
      </c>
      <c r="P109" s="113">
        <v>1.8</v>
      </c>
      <c r="Q109" s="113">
        <v>3</v>
      </c>
      <c r="R109" s="113">
        <v>-5.7</v>
      </c>
      <c r="S109" s="113">
        <v>-8.9</v>
      </c>
      <c r="T109" s="113">
        <v>-2.8</v>
      </c>
      <c r="U109" s="113">
        <v>-2.2000000000000002</v>
      </c>
      <c r="V109" s="113">
        <v>-7.6</v>
      </c>
      <c r="W109" s="113">
        <v>-12.5</v>
      </c>
      <c r="X109" s="113">
        <v>-4.4000000000000004</v>
      </c>
      <c r="Y109" s="113">
        <v>15.9</v>
      </c>
      <c r="Z109" s="113">
        <v>20.100000000000001</v>
      </c>
      <c r="AA109" s="113">
        <v>20.7</v>
      </c>
      <c r="AB109" s="113">
        <v>22.4</v>
      </c>
      <c r="AC109" s="113">
        <v>17.899999999999999</v>
      </c>
      <c r="AD109" s="113">
        <v>17.7</v>
      </c>
      <c r="AE109" s="113">
        <v>2.2999999999999998</v>
      </c>
      <c r="AF109" s="113">
        <v>-7.4</v>
      </c>
      <c r="AG109" s="114">
        <v>75</v>
      </c>
      <c r="AH109" s="47">
        <f t="shared" si="13"/>
        <v>22.6</v>
      </c>
      <c r="AI109" s="48">
        <f t="shared" si="14"/>
        <v>-24.3</v>
      </c>
    </row>
    <row r="110" spans="1:37" x14ac:dyDescent="0.25">
      <c r="A110" s="103" t="s">
        <v>114</v>
      </c>
      <c r="B110" s="115">
        <v>-35.5</v>
      </c>
      <c r="C110" s="115">
        <v>-27.1</v>
      </c>
      <c r="D110" s="115">
        <v>-25.8</v>
      </c>
      <c r="E110" s="115">
        <v>-27.3</v>
      </c>
      <c r="F110" s="115">
        <v>-32.200000000000003</v>
      </c>
      <c r="G110" s="115">
        <v>-30.5</v>
      </c>
      <c r="H110" s="115">
        <v>-13.5</v>
      </c>
      <c r="I110" s="115">
        <v>-13.5</v>
      </c>
      <c r="J110" s="115">
        <v>2.2999999999999998</v>
      </c>
      <c r="K110" s="115">
        <v>12.2</v>
      </c>
      <c r="L110" s="115">
        <v>14.4</v>
      </c>
      <c r="M110" s="115">
        <v>21.8</v>
      </c>
      <c r="N110" s="115">
        <v>10.5</v>
      </c>
      <c r="O110" s="115">
        <v>12.1</v>
      </c>
      <c r="P110" s="115">
        <v>1</v>
      </c>
      <c r="Q110" s="115">
        <v>2.8</v>
      </c>
      <c r="R110" s="115">
        <v>-8.1</v>
      </c>
      <c r="S110" s="115">
        <v>-13.6</v>
      </c>
      <c r="T110" s="115">
        <v>-5.0999999999999996</v>
      </c>
      <c r="U110" s="115">
        <v>-3.3</v>
      </c>
      <c r="V110" s="115">
        <v>-17.2</v>
      </c>
      <c r="W110" s="115">
        <v>-22.7</v>
      </c>
      <c r="X110" s="115">
        <v>-11.8</v>
      </c>
      <c r="Y110" s="115">
        <v>13.2</v>
      </c>
      <c r="Z110" s="115">
        <v>19.399999999999999</v>
      </c>
      <c r="AA110" s="115">
        <v>22.9</v>
      </c>
      <c r="AB110" s="115">
        <v>22.4</v>
      </c>
      <c r="AC110" s="115">
        <v>19</v>
      </c>
      <c r="AD110" s="115">
        <v>19</v>
      </c>
      <c r="AE110" s="115">
        <v>-2.1</v>
      </c>
      <c r="AF110" s="115">
        <v>-5.8</v>
      </c>
      <c r="AG110" s="114">
        <v>240</v>
      </c>
      <c r="AH110" s="47">
        <f t="shared" si="13"/>
        <v>22.9</v>
      </c>
      <c r="AI110" s="48">
        <f t="shared" si="14"/>
        <v>-35.5</v>
      </c>
    </row>
    <row r="111" spans="1:37" x14ac:dyDescent="0.25">
      <c r="A111" s="103" t="s">
        <v>115</v>
      </c>
      <c r="B111" s="115">
        <v>0.5</v>
      </c>
      <c r="C111" s="115">
        <v>-6.7</v>
      </c>
      <c r="D111" s="115">
        <v>-10.199999999999999</v>
      </c>
      <c r="E111" s="115">
        <v>-8</v>
      </c>
      <c r="F111" s="115">
        <v>-2.6</v>
      </c>
      <c r="G111" s="115">
        <v>11.1</v>
      </c>
      <c r="H111" s="115">
        <v>6.3</v>
      </c>
      <c r="I111" s="115">
        <v>21</v>
      </c>
      <c r="J111" s="115">
        <v>26.4</v>
      </c>
      <c r="K111" s="115">
        <v>44.1</v>
      </c>
      <c r="L111" s="115">
        <v>55.5</v>
      </c>
      <c r="M111" s="115">
        <v>56.2</v>
      </c>
      <c r="N111" s="115">
        <v>64.8</v>
      </c>
      <c r="O111" s="115">
        <v>63.2</v>
      </c>
      <c r="P111" s="115">
        <f>13.8+11.3</f>
        <v>25.1</v>
      </c>
      <c r="Q111" s="115">
        <f>13.8+11.3</f>
        <v>25.1</v>
      </c>
      <c r="R111" s="115">
        <v>31.5</v>
      </c>
      <c r="S111" s="115">
        <v>10.6</v>
      </c>
      <c r="T111" s="115">
        <v>11</v>
      </c>
      <c r="U111" s="115">
        <v>12.2</v>
      </c>
      <c r="V111" s="115">
        <v>14</v>
      </c>
      <c r="W111" s="115">
        <f>4.5+30.2</f>
        <v>34.700000000000003</v>
      </c>
      <c r="X111" s="115">
        <v>32.5</v>
      </c>
      <c r="Y111" s="115">
        <v>23</v>
      </c>
      <c r="Z111" s="115">
        <v>32</v>
      </c>
      <c r="AA111" s="115">
        <f>2.6+20.7</f>
        <v>23.3</v>
      </c>
      <c r="AB111" s="115">
        <v>25</v>
      </c>
      <c r="AC111" s="115">
        <v>31</v>
      </c>
      <c r="AD111" s="115">
        <v>25</v>
      </c>
      <c r="AE111" s="115">
        <v>-7</v>
      </c>
      <c r="AF111" s="115">
        <v>-17</v>
      </c>
      <c r="AG111" s="114">
        <v>240</v>
      </c>
      <c r="AH111" s="47">
        <f t="shared" si="13"/>
        <v>64.8</v>
      </c>
      <c r="AI111" s="48">
        <f t="shared" si="14"/>
        <v>-17</v>
      </c>
    </row>
    <row r="112" spans="1:37" x14ac:dyDescent="0.25">
      <c r="A112" s="103" t="s">
        <v>116</v>
      </c>
      <c r="B112" s="115">
        <v>-3.4</v>
      </c>
      <c r="C112" s="115">
        <v>-6</v>
      </c>
      <c r="D112" s="115">
        <v>-8.6</v>
      </c>
      <c r="E112" s="115">
        <v>-6.6</v>
      </c>
      <c r="F112" s="115">
        <v>-4.5999999999999996</v>
      </c>
      <c r="G112" s="115">
        <v>-1.9</v>
      </c>
      <c r="H112" s="115">
        <v>-1.6</v>
      </c>
      <c r="I112" s="115">
        <v>2</v>
      </c>
      <c r="J112" s="115">
        <v>7</v>
      </c>
      <c r="K112" s="115">
        <v>13</v>
      </c>
      <c r="L112" s="115">
        <v>16.899999999999999</v>
      </c>
      <c r="M112" s="115">
        <v>15.5</v>
      </c>
      <c r="N112" s="115">
        <v>18.8</v>
      </c>
      <c r="O112" s="115">
        <v>17.600000000000001</v>
      </c>
      <c r="P112" s="115">
        <v>28</v>
      </c>
      <c r="Q112" s="115">
        <v>25.2</v>
      </c>
      <c r="R112" s="115">
        <v>31.7</v>
      </c>
      <c r="S112" s="115">
        <v>30.2</v>
      </c>
      <c r="T112" s="115">
        <v>22.9</v>
      </c>
      <c r="U112" s="115">
        <v>23.5</v>
      </c>
      <c r="V112" s="115">
        <v>54.2</v>
      </c>
      <c r="W112" s="115">
        <v>49.5</v>
      </c>
      <c r="X112" s="115">
        <v>53.6</v>
      </c>
      <c r="Y112" s="115">
        <v>54.4</v>
      </c>
      <c r="Z112" s="115">
        <v>51.6</v>
      </c>
      <c r="AA112" s="115">
        <v>32.1</v>
      </c>
      <c r="AB112" s="115">
        <v>26.5</v>
      </c>
      <c r="AC112" s="115">
        <v>20</v>
      </c>
      <c r="AD112" s="115">
        <v>9</v>
      </c>
      <c r="AE112" s="115">
        <v>0.2</v>
      </c>
      <c r="AF112" s="115">
        <v>1.7</v>
      </c>
      <c r="AG112" s="114">
        <v>60</v>
      </c>
      <c r="AH112" s="47">
        <f t="shared" si="13"/>
        <v>54.4</v>
      </c>
      <c r="AI112" s="48">
        <f t="shared" si="14"/>
        <v>-8.6</v>
      </c>
    </row>
    <row r="113" spans="1:37" x14ac:dyDescent="0.25">
      <c r="A113" s="116" t="s">
        <v>117</v>
      </c>
      <c r="B113" s="117">
        <v>96.9</v>
      </c>
      <c r="C113" s="117">
        <v>83.4</v>
      </c>
      <c r="D113" s="117">
        <v>80</v>
      </c>
      <c r="E113" s="117">
        <v>81.599999999999994</v>
      </c>
      <c r="F113" s="117">
        <v>87.5</v>
      </c>
      <c r="G113" s="117">
        <v>100.8</v>
      </c>
      <c r="H113" s="117">
        <v>98.9</v>
      </c>
      <c r="I113" s="117">
        <v>111.4</v>
      </c>
      <c r="J113" s="117">
        <v>114.6</v>
      </c>
      <c r="K113" s="117">
        <v>122.1</v>
      </c>
      <c r="L113" s="117">
        <v>125</v>
      </c>
      <c r="M113" s="117">
        <v>115</v>
      </c>
      <c r="N113" s="117">
        <v>89.4</v>
      </c>
      <c r="O113" s="117">
        <v>72.099999999999994</v>
      </c>
      <c r="P113" s="117">
        <v>104.6</v>
      </c>
      <c r="Q113" s="117">
        <v>105.8</v>
      </c>
      <c r="R113" s="117">
        <v>111.2</v>
      </c>
      <c r="S113" s="117">
        <v>120.1</v>
      </c>
      <c r="T113" s="117">
        <v>120.6</v>
      </c>
      <c r="U113" s="117">
        <v>114.1</v>
      </c>
      <c r="V113" s="117">
        <v>95.4</v>
      </c>
      <c r="W113" s="117">
        <v>101.1</v>
      </c>
      <c r="X113" s="117">
        <v>101.8</v>
      </c>
      <c r="Y113" s="117">
        <v>109.2</v>
      </c>
      <c r="Z113" s="117">
        <v>114.9</v>
      </c>
      <c r="AA113" s="117">
        <v>117.8</v>
      </c>
      <c r="AB113" s="117">
        <v>104.5</v>
      </c>
      <c r="AC113" s="117">
        <v>83</v>
      </c>
      <c r="AD113" s="117">
        <v>71</v>
      </c>
      <c r="AE113" s="117">
        <v>75.8</v>
      </c>
      <c r="AF113" s="117">
        <v>58.8</v>
      </c>
      <c r="AG113" s="118">
        <v>120</v>
      </c>
      <c r="AH113" s="47">
        <f t="shared" si="13"/>
        <v>125</v>
      </c>
      <c r="AI113" s="48">
        <f t="shared" si="14"/>
        <v>58.8</v>
      </c>
    </row>
    <row r="114" spans="1:37" x14ac:dyDescent="0.25">
      <c r="A114" s="116" t="s">
        <v>118</v>
      </c>
      <c r="B114" s="117">
        <v>85.1</v>
      </c>
      <c r="C114" s="117">
        <v>72.400000000000006</v>
      </c>
      <c r="D114" s="117">
        <v>71.099999999999994</v>
      </c>
      <c r="E114" s="117">
        <v>73.5</v>
      </c>
      <c r="F114" s="117">
        <v>79.5</v>
      </c>
      <c r="G114" s="117">
        <v>98</v>
      </c>
      <c r="H114" s="117">
        <v>79.599999999999994</v>
      </c>
      <c r="I114" s="117">
        <v>93.1</v>
      </c>
      <c r="J114" s="117">
        <v>90</v>
      </c>
      <c r="K114" s="117">
        <v>91.74</v>
      </c>
      <c r="L114" s="117">
        <v>96</v>
      </c>
      <c r="M114" s="117">
        <v>85.1</v>
      </c>
      <c r="N114" s="117">
        <v>99.7</v>
      </c>
      <c r="O114" s="117">
        <v>100.4</v>
      </c>
      <c r="P114" s="117">
        <v>86.9</v>
      </c>
      <c r="Q114" s="117">
        <v>83.5</v>
      </c>
      <c r="R114" s="117">
        <v>89.8</v>
      </c>
      <c r="S114" s="117">
        <v>95</v>
      </c>
      <c r="T114" s="117">
        <v>92</v>
      </c>
      <c r="U114" s="117">
        <v>86.8</v>
      </c>
      <c r="V114" s="117">
        <v>70.400000000000006</v>
      </c>
      <c r="W114" s="117">
        <v>82.7</v>
      </c>
      <c r="X114" s="117">
        <v>75.7</v>
      </c>
      <c r="Y114" s="117">
        <v>75.3</v>
      </c>
      <c r="Z114" s="117">
        <v>79.5</v>
      </c>
      <c r="AA114" s="117">
        <v>71.7</v>
      </c>
      <c r="AB114" s="117">
        <v>66.2</v>
      </c>
      <c r="AC114" s="117">
        <v>70</v>
      </c>
      <c r="AD114" s="117">
        <v>73</v>
      </c>
      <c r="AE114" s="117">
        <v>64.599999999999994</v>
      </c>
      <c r="AF114" s="117">
        <v>59.6</v>
      </c>
      <c r="AG114" s="118"/>
      <c r="AH114" s="47">
        <f t="shared" si="13"/>
        <v>100.4</v>
      </c>
      <c r="AI114" s="48">
        <f t="shared" si="14"/>
        <v>59.6</v>
      </c>
    </row>
    <row r="115" spans="1:37" x14ac:dyDescent="0.25">
      <c r="A115" s="116" t="s">
        <v>119</v>
      </c>
      <c r="B115" s="117"/>
      <c r="C115" s="117"/>
      <c r="D115" s="117">
        <v>44.3</v>
      </c>
      <c r="E115" s="117"/>
      <c r="F115" s="117">
        <v>50.2</v>
      </c>
      <c r="G115" s="117">
        <v>53.4</v>
      </c>
      <c r="H115" s="117">
        <v>39</v>
      </c>
      <c r="I115" s="117"/>
      <c r="J115" s="117"/>
      <c r="K115" s="117">
        <v>21.3</v>
      </c>
      <c r="L115" s="117"/>
      <c r="M115" s="117"/>
      <c r="N115" s="117">
        <v>18.5</v>
      </c>
      <c r="O115" s="117">
        <v>16.600000000000001</v>
      </c>
      <c r="P115" s="117">
        <v>31.5</v>
      </c>
      <c r="Q115" s="117">
        <v>31.6</v>
      </c>
      <c r="R115" s="117">
        <v>37.4</v>
      </c>
      <c r="S115" s="117">
        <v>36.799999999999997</v>
      </c>
      <c r="T115" s="117">
        <v>34.9</v>
      </c>
      <c r="U115" s="117">
        <v>33.700000000000003</v>
      </c>
      <c r="V115" s="117">
        <v>29.6</v>
      </c>
      <c r="W115" s="117">
        <v>27.6</v>
      </c>
      <c r="X115" s="117">
        <v>18.399999999999999</v>
      </c>
      <c r="Y115" s="117">
        <v>15.6</v>
      </c>
      <c r="Z115" s="117">
        <v>11.2</v>
      </c>
      <c r="AA115" s="117">
        <v>10.5</v>
      </c>
      <c r="AB115" s="117">
        <v>15.1</v>
      </c>
      <c r="AC115" s="117">
        <v>23</v>
      </c>
      <c r="AD115" s="117">
        <v>22.6</v>
      </c>
      <c r="AE115" s="117">
        <v>31.5</v>
      </c>
      <c r="AF115" s="117">
        <v>32.4</v>
      </c>
      <c r="AG115" s="119"/>
      <c r="AH115" s="47">
        <f t="shared" si="13"/>
        <v>53.4</v>
      </c>
      <c r="AI115" s="48">
        <f t="shared" si="14"/>
        <v>10.5</v>
      </c>
    </row>
    <row r="116" spans="1:37" x14ac:dyDescent="0.25">
      <c r="A116" s="120" t="s">
        <v>120</v>
      </c>
      <c r="B116" s="106">
        <v>-23.9</v>
      </c>
      <c r="C116" s="106">
        <v>-21.6</v>
      </c>
      <c r="D116" s="106">
        <v>-20.100000000000001</v>
      </c>
      <c r="E116" s="106">
        <v>-13.9</v>
      </c>
      <c r="F116" s="106">
        <v>-13.9</v>
      </c>
      <c r="G116" s="106">
        <v>-17.899999999999999</v>
      </c>
      <c r="H116" s="106">
        <v>-22.5</v>
      </c>
      <c r="I116" s="106">
        <v>-38.1</v>
      </c>
      <c r="J116" s="106">
        <v>-54.4</v>
      </c>
      <c r="K116" s="106">
        <v>-66.599999999999994</v>
      </c>
      <c r="L116" s="106">
        <v>-81.2</v>
      </c>
      <c r="M116" s="106">
        <v>80.2</v>
      </c>
      <c r="N116" s="106">
        <v>-73.400000000000006</v>
      </c>
      <c r="O116" s="106">
        <v>-77.400000000000006</v>
      </c>
      <c r="P116" s="106">
        <v>-71.2</v>
      </c>
      <c r="Q116" s="106">
        <v>-67</v>
      </c>
      <c r="R116" s="106">
        <v>-54.3</v>
      </c>
      <c r="S116" s="106">
        <v>-64.599999999999994</v>
      </c>
      <c r="T116" s="106">
        <v>-74.2</v>
      </c>
      <c r="U116" s="106">
        <v>-58.1</v>
      </c>
      <c r="V116" s="106">
        <v>-79.2</v>
      </c>
      <c r="W116" s="106">
        <v>-81.900000000000006</v>
      </c>
      <c r="X116" s="106">
        <v>-93.4</v>
      </c>
      <c r="Y116" s="106">
        <v>-110.9</v>
      </c>
      <c r="Z116" s="106">
        <v>-100.9</v>
      </c>
      <c r="AA116" s="106">
        <v>-79</v>
      </c>
      <c r="AB116" s="106">
        <v>-66.400000000000006</v>
      </c>
      <c r="AC116" s="106">
        <v>-51</v>
      </c>
      <c r="AD116" s="106">
        <v>-41</v>
      </c>
      <c r="AE116" s="106">
        <v>-30.6</v>
      </c>
      <c r="AF116" s="106">
        <v>-22.8</v>
      </c>
      <c r="AG116" s="119"/>
      <c r="AH116" s="47">
        <f t="shared" si="13"/>
        <v>80.2</v>
      </c>
      <c r="AI116" s="48">
        <f t="shared" si="14"/>
        <v>-110.9</v>
      </c>
    </row>
    <row r="117" spans="1:37" ht="15.75" thickBot="1" x14ac:dyDescent="0.3">
      <c r="A117" s="120" t="s">
        <v>121</v>
      </c>
      <c r="B117" s="106">
        <v>72.8</v>
      </c>
      <c r="C117" s="106">
        <v>71.599999999999994</v>
      </c>
      <c r="D117" s="106">
        <v>70.2</v>
      </c>
      <c r="E117" s="106">
        <v>65</v>
      </c>
      <c r="F117" s="106">
        <v>64.3</v>
      </c>
      <c r="G117" s="106">
        <v>68.8</v>
      </c>
      <c r="H117" s="106">
        <v>68</v>
      </c>
      <c r="I117" s="106">
        <v>68.2</v>
      </c>
      <c r="J117" s="106">
        <v>79.3</v>
      </c>
      <c r="K117" s="106">
        <v>80.2</v>
      </c>
      <c r="L117" s="106">
        <v>81.599999999999994</v>
      </c>
      <c r="M117" s="106">
        <v>84</v>
      </c>
      <c r="N117" s="106">
        <v>74.7</v>
      </c>
      <c r="O117" s="106">
        <v>76.7</v>
      </c>
      <c r="P117" s="106">
        <v>95.9</v>
      </c>
      <c r="Q117" s="106">
        <v>95</v>
      </c>
      <c r="R117" s="106">
        <v>92.1</v>
      </c>
      <c r="S117" s="106">
        <v>100.5</v>
      </c>
      <c r="T117" s="106">
        <v>107.6</v>
      </c>
      <c r="U117" s="106">
        <v>105.2</v>
      </c>
      <c r="V117" s="106">
        <v>77.099999999999994</v>
      </c>
      <c r="W117" s="106">
        <v>71.3</v>
      </c>
      <c r="X117" s="106">
        <v>75.5</v>
      </c>
      <c r="Y117" s="106">
        <v>97.2</v>
      </c>
      <c r="Z117" s="106">
        <v>100.7</v>
      </c>
      <c r="AA117" s="106">
        <v>92.1</v>
      </c>
      <c r="AB117" s="106">
        <v>94.1</v>
      </c>
      <c r="AC117" s="106">
        <v>105</v>
      </c>
      <c r="AD117" s="106">
        <v>98.4</v>
      </c>
      <c r="AE117" s="106">
        <v>87.5</v>
      </c>
      <c r="AF117" s="106">
        <v>79</v>
      </c>
      <c r="AG117" s="119"/>
      <c r="AH117" s="47">
        <f t="shared" si="13"/>
        <v>107.6</v>
      </c>
      <c r="AI117" s="48">
        <f t="shared" si="14"/>
        <v>64.3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27">SUM(B119:B223)</f>
        <v>0</v>
      </c>
      <c r="C224" s="136">
        <f t="shared" si="27"/>
        <v>0</v>
      </c>
      <c r="D224" s="136">
        <f t="shared" si="27"/>
        <v>0</v>
      </c>
      <c r="E224" s="136">
        <f t="shared" si="27"/>
        <v>0</v>
      </c>
      <c r="F224" s="136">
        <f t="shared" si="27"/>
        <v>0</v>
      </c>
      <c r="G224" s="136">
        <f t="shared" si="27"/>
        <v>0</v>
      </c>
      <c r="H224" s="136">
        <f t="shared" si="27"/>
        <v>0</v>
      </c>
      <c r="I224" s="136">
        <f t="shared" si="27"/>
        <v>0</v>
      </c>
      <c r="J224" s="136">
        <f t="shared" si="27"/>
        <v>0</v>
      </c>
      <c r="K224" s="136">
        <f t="shared" si="27"/>
        <v>0</v>
      </c>
      <c r="L224" s="136">
        <f t="shared" si="27"/>
        <v>0</v>
      </c>
      <c r="M224" s="136">
        <f t="shared" si="27"/>
        <v>0</v>
      </c>
      <c r="N224" s="136">
        <f t="shared" si="27"/>
        <v>0</v>
      </c>
      <c r="O224" s="136">
        <f t="shared" si="27"/>
        <v>0</v>
      </c>
      <c r="P224" s="136">
        <f t="shared" si="27"/>
        <v>0</v>
      </c>
      <c r="Q224" s="136">
        <f t="shared" si="27"/>
        <v>0</v>
      </c>
      <c r="R224" s="136">
        <f t="shared" si="27"/>
        <v>0</v>
      </c>
      <c r="S224" s="136">
        <f t="shared" si="27"/>
        <v>0</v>
      </c>
      <c r="T224" s="136">
        <f t="shared" si="27"/>
        <v>0</v>
      </c>
      <c r="U224" s="136">
        <f t="shared" si="27"/>
        <v>0</v>
      </c>
      <c r="V224" s="136">
        <f t="shared" si="27"/>
        <v>0</v>
      </c>
      <c r="W224" s="136">
        <f t="shared" si="27"/>
        <v>0</v>
      </c>
      <c r="X224" s="136">
        <f t="shared" si="27"/>
        <v>0</v>
      </c>
      <c r="Y224" s="136">
        <f t="shared" si="27"/>
        <v>0</v>
      </c>
      <c r="Z224" s="136">
        <f t="shared" si="27"/>
        <v>0</v>
      </c>
      <c r="AA224" s="136">
        <f t="shared" si="27"/>
        <v>0</v>
      </c>
      <c r="AB224" s="136">
        <f t="shared" si="27"/>
        <v>0</v>
      </c>
      <c r="AC224" s="136">
        <f t="shared" si="27"/>
        <v>0</v>
      </c>
      <c r="AD224" s="136">
        <f t="shared" si="27"/>
        <v>0</v>
      </c>
      <c r="AE224" s="136">
        <f t="shared" si="27"/>
        <v>0</v>
      </c>
      <c r="AF224" s="137">
        <f t="shared" si="27"/>
        <v>0</v>
      </c>
      <c r="AG224" s="138">
        <f t="shared" si="2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28">AF226</f>
        <v>0</v>
      </c>
      <c r="C226" s="140">
        <v>0.3</v>
      </c>
      <c r="D226" s="140">
        <f t="shared" ref="D226:P231" si="29">C226</f>
        <v>0.3</v>
      </c>
      <c r="E226" s="140">
        <f t="shared" si="29"/>
        <v>0.3</v>
      </c>
      <c r="F226" s="140">
        <f t="shared" si="29"/>
        <v>0.3</v>
      </c>
      <c r="G226" s="140">
        <f t="shared" si="29"/>
        <v>0.3</v>
      </c>
      <c r="H226" s="140">
        <f t="shared" si="29"/>
        <v>0.3</v>
      </c>
      <c r="I226" s="140">
        <f t="shared" si="29"/>
        <v>0.3</v>
      </c>
      <c r="J226" s="140">
        <f t="shared" si="29"/>
        <v>0.3</v>
      </c>
      <c r="K226" s="140">
        <f t="shared" si="29"/>
        <v>0.3</v>
      </c>
      <c r="L226" s="140">
        <f t="shared" si="29"/>
        <v>0.3</v>
      </c>
      <c r="M226" s="140">
        <f t="shared" si="29"/>
        <v>0.3</v>
      </c>
      <c r="N226" s="140">
        <f t="shared" si="29"/>
        <v>0.3</v>
      </c>
      <c r="O226" s="140">
        <f t="shared" si="29"/>
        <v>0.3</v>
      </c>
      <c r="P226" s="140">
        <f t="shared" si="2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28"/>
        <v>0</v>
      </c>
      <c r="C227" s="128">
        <v>0.4</v>
      </c>
      <c r="D227" s="128">
        <f t="shared" si="29"/>
        <v>0.4</v>
      </c>
      <c r="E227" s="128">
        <f t="shared" si="29"/>
        <v>0.4</v>
      </c>
      <c r="F227" s="128">
        <f t="shared" si="29"/>
        <v>0.4</v>
      </c>
      <c r="G227" s="128">
        <f t="shared" si="29"/>
        <v>0.4</v>
      </c>
      <c r="H227" s="128">
        <f t="shared" si="29"/>
        <v>0.4</v>
      </c>
      <c r="I227" s="128">
        <f t="shared" si="29"/>
        <v>0.4</v>
      </c>
      <c r="J227" s="128">
        <f t="shared" si="29"/>
        <v>0.4</v>
      </c>
      <c r="K227" s="128">
        <f t="shared" si="29"/>
        <v>0.4</v>
      </c>
      <c r="L227" s="128">
        <f t="shared" si="29"/>
        <v>0.4</v>
      </c>
      <c r="M227" s="128">
        <f t="shared" si="29"/>
        <v>0.4</v>
      </c>
      <c r="N227" s="128">
        <f t="shared" si="29"/>
        <v>0.4</v>
      </c>
      <c r="O227" s="128">
        <f t="shared" si="29"/>
        <v>0.4</v>
      </c>
      <c r="P227" s="128">
        <f t="shared" si="2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28"/>
        <v>0</v>
      </c>
      <c r="C228" s="128">
        <v>1.5</v>
      </c>
      <c r="D228" s="128">
        <f t="shared" si="29"/>
        <v>1.5</v>
      </c>
      <c r="E228" s="128">
        <f t="shared" si="29"/>
        <v>1.5</v>
      </c>
      <c r="F228" s="128">
        <f t="shared" si="29"/>
        <v>1.5</v>
      </c>
      <c r="G228" s="128">
        <f t="shared" si="29"/>
        <v>1.5</v>
      </c>
      <c r="H228" s="128">
        <f t="shared" si="2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29"/>
        <v>1.5</v>
      </c>
      <c r="K228" s="128">
        <f t="shared" ca="1" si="29"/>
        <v>1.5</v>
      </c>
      <c r="L228" s="128">
        <f t="shared" ca="1" si="29"/>
        <v>1.5</v>
      </c>
      <c r="M228" s="128">
        <f t="shared" ca="1" si="29"/>
        <v>1.5</v>
      </c>
      <c r="N228" s="128">
        <f t="shared" ca="1" si="29"/>
        <v>1.5</v>
      </c>
      <c r="O228" s="128">
        <f t="shared" ca="1" si="29"/>
        <v>1.5</v>
      </c>
      <c r="P228" s="128">
        <f t="shared" ca="1" si="2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28"/>
        <v>0</v>
      </c>
      <c r="C229" s="128">
        <v>0.3</v>
      </c>
      <c r="D229" s="128">
        <f t="shared" si="29"/>
        <v>0.3</v>
      </c>
      <c r="E229" s="128">
        <f t="shared" si="29"/>
        <v>0.3</v>
      </c>
      <c r="F229" s="128">
        <f t="shared" si="29"/>
        <v>0.3</v>
      </c>
      <c r="G229" s="128">
        <f t="shared" si="29"/>
        <v>0.3</v>
      </c>
      <c r="H229" s="128">
        <f t="shared" si="29"/>
        <v>0.3</v>
      </c>
      <c r="I229" s="128">
        <f t="shared" si="29"/>
        <v>0.3</v>
      </c>
      <c r="J229" s="128">
        <f t="shared" si="29"/>
        <v>0.3</v>
      </c>
      <c r="K229" s="128">
        <f t="shared" si="29"/>
        <v>0.3</v>
      </c>
      <c r="L229" s="128">
        <f t="shared" si="29"/>
        <v>0.3</v>
      </c>
      <c r="M229" s="128">
        <f t="shared" si="29"/>
        <v>0.3</v>
      </c>
      <c r="N229" s="128">
        <f t="shared" si="29"/>
        <v>0.3</v>
      </c>
      <c r="O229" s="128">
        <f t="shared" si="29"/>
        <v>0.3</v>
      </c>
      <c r="P229" s="128">
        <f t="shared" si="2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28"/>
        <v>0</v>
      </c>
      <c r="C230" s="128">
        <v>0.4</v>
      </c>
      <c r="D230" s="128">
        <f t="shared" si="29"/>
        <v>0.4</v>
      </c>
      <c r="E230" s="128">
        <f t="shared" si="29"/>
        <v>0.4</v>
      </c>
      <c r="F230" s="128">
        <f t="shared" si="29"/>
        <v>0.4</v>
      </c>
      <c r="G230" s="128">
        <f t="shared" si="29"/>
        <v>0.4</v>
      </c>
      <c r="H230" s="128">
        <f t="shared" si="29"/>
        <v>0.4</v>
      </c>
      <c r="I230" s="128">
        <f t="shared" si="29"/>
        <v>0.4</v>
      </c>
      <c r="J230" s="128">
        <f t="shared" si="29"/>
        <v>0.4</v>
      </c>
      <c r="K230" s="128">
        <f t="shared" si="29"/>
        <v>0.4</v>
      </c>
      <c r="L230" s="128">
        <f t="shared" si="29"/>
        <v>0.4</v>
      </c>
      <c r="M230" s="128">
        <f t="shared" si="29"/>
        <v>0.4</v>
      </c>
      <c r="N230" s="128">
        <f t="shared" si="29"/>
        <v>0.4</v>
      </c>
      <c r="O230" s="128">
        <f t="shared" si="29"/>
        <v>0.4</v>
      </c>
      <c r="P230" s="128">
        <f t="shared" si="2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28"/>
        <v>0</v>
      </c>
      <c r="C231" s="132">
        <v>0.64</v>
      </c>
      <c r="D231" s="132">
        <f t="shared" si="29"/>
        <v>0.64</v>
      </c>
      <c r="E231" s="132">
        <f t="shared" si="29"/>
        <v>0.64</v>
      </c>
      <c r="F231" s="132">
        <f t="shared" si="29"/>
        <v>0.64</v>
      </c>
      <c r="G231" s="132">
        <f t="shared" si="29"/>
        <v>0.64</v>
      </c>
      <c r="H231" s="132">
        <f t="shared" si="29"/>
        <v>0.64</v>
      </c>
      <c r="I231" s="132">
        <f t="shared" si="29"/>
        <v>0.64</v>
      </c>
      <c r="J231" s="132">
        <f t="shared" si="29"/>
        <v>0.64</v>
      </c>
      <c r="K231" s="132">
        <f t="shared" si="29"/>
        <v>0.64</v>
      </c>
      <c r="L231" s="132">
        <f t="shared" si="29"/>
        <v>0.64</v>
      </c>
      <c r="M231" s="132">
        <f t="shared" si="29"/>
        <v>0.64</v>
      </c>
      <c r="N231" s="132">
        <f t="shared" si="29"/>
        <v>0.64</v>
      </c>
      <c r="O231" s="132">
        <f t="shared" si="29"/>
        <v>0.64</v>
      </c>
      <c r="P231" s="132">
        <f t="shared" si="2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30">SUM(B226:B231)</f>
        <v>0</v>
      </c>
      <c r="C232" s="136">
        <f t="shared" si="30"/>
        <v>3.54</v>
      </c>
      <c r="D232" s="136">
        <f t="shared" si="30"/>
        <v>3.54</v>
      </c>
      <c r="E232" s="136">
        <f t="shared" si="30"/>
        <v>3.54</v>
      </c>
      <c r="F232" s="136">
        <f t="shared" si="30"/>
        <v>3.54</v>
      </c>
      <c r="G232" s="136">
        <f t="shared" si="30"/>
        <v>3.54</v>
      </c>
      <c r="H232" s="136">
        <f t="shared" si="30"/>
        <v>3.54</v>
      </c>
      <c r="I232" s="136">
        <f t="shared" ca="1" si="30"/>
        <v>3.54</v>
      </c>
      <c r="J232" s="136">
        <f t="shared" ca="1" si="30"/>
        <v>3.54</v>
      </c>
      <c r="K232" s="136">
        <f t="shared" ca="1" si="30"/>
        <v>3.54</v>
      </c>
      <c r="L232" s="136">
        <f t="shared" ca="1" si="30"/>
        <v>3.54</v>
      </c>
      <c r="M232" s="136">
        <f t="shared" ca="1" si="30"/>
        <v>3.54</v>
      </c>
      <c r="N232" s="136">
        <f t="shared" ca="1" si="30"/>
        <v>3.54</v>
      </c>
      <c r="O232" s="136">
        <f t="shared" ca="1" si="30"/>
        <v>3.54</v>
      </c>
      <c r="P232" s="136">
        <f t="shared" ca="1" si="30"/>
        <v>3.54</v>
      </c>
      <c r="Q232" s="136">
        <f t="shared" si="30"/>
        <v>0</v>
      </c>
      <c r="R232" s="136">
        <f t="shared" si="30"/>
        <v>0</v>
      </c>
      <c r="S232" s="136">
        <f t="shared" si="30"/>
        <v>0</v>
      </c>
      <c r="T232" s="136">
        <f t="shared" si="30"/>
        <v>0</v>
      </c>
      <c r="U232" s="136">
        <f t="shared" si="30"/>
        <v>0</v>
      </c>
      <c r="V232" s="136">
        <f t="shared" si="30"/>
        <v>0</v>
      </c>
      <c r="W232" s="136">
        <f t="shared" si="30"/>
        <v>0</v>
      </c>
      <c r="X232" s="136">
        <f t="shared" si="30"/>
        <v>0</v>
      </c>
      <c r="Y232" s="136">
        <f t="shared" si="30"/>
        <v>0</v>
      </c>
      <c r="Z232" s="136">
        <f t="shared" si="30"/>
        <v>0</v>
      </c>
      <c r="AA232" s="136">
        <f t="shared" si="30"/>
        <v>0</v>
      </c>
      <c r="AB232" s="136">
        <f t="shared" si="30"/>
        <v>0</v>
      </c>
      <c r="AC232" s="136">
        <f t="shared" si="30"/>
        <v>0</v>
      </c>
      <c r="AD232" s="136">
        <f t="shared" si="30"/>
        <v>0</v>
      </c>
      <c r="AE232" s="136">
        <f t="shared" si="30"/>
        <v>0</v>
      </c>
      <c r="AF232" s="136">
        <f t="shared" si="30"/>
        <v>0</v>
      </c>
      <c r="AG232" s="145">
        <f t="shared" si="3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1418.8389999999999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30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str">
        <f ca="1">"Pie Chart of Daily Peak Demand(Inclusive of Export) of Nepal ("&amp;A4&amp;" "&amp;B4&amp;")"</f>
        <v>Pie Chart of Daily Peak Demand(Inclusive of Export) of Nepal (Nepali Date: 2079/11/30)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2079/11/30)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31">B89</f>
        <v>1043.54</v>
      </c>
      <c r="U246" s="170">
        <f t="shared" si="31"/>
        <v>1032.8399999999999</v>
      </c>
      <c r="V246" s="170">
        <f t="shared" si="31"/>
        <v>943.83999999999992</v>
      </c>
      <c r="W246" s="170">
        <f t="shared" si="31"/>
        <v>999.54</v>
      </c>
      <c r="X246" s="170">
        <f t="shared" si="31"/>
        <v>1016.8399999999999</v>
      </c>
      <c r="Y246" s="170">
        <f t="shared" si="31"/>
        <v>1045.6400000000001</v>
      </c>
      <c r="Z246" s="170">
        <f t="shared" si="31"/>
        <v>1109.3400000000001</v>
      </c>
      <c r="AA246" s="170">
        <f t="shared" si="31"/>
        <v>1158.1399999999999</v>
      </c>
      <c r="AB246" s="170">
        <f t="shared" si="31"/>
        <v>1229.6399999999999</v>
      </c>
      <c r="AC246" s="170">
        <f t="shared" si="31"/>
        <v>1326.24</v>
      </c>
      <c r="AD246" s="170">
        <f t="shared" si="31"/>
        <v>1418.8389999999999</v>
      </c>
      <c r="AE246" s="170">
        <f t="shared" si="31"/>
        <v>1408.1690000000001</v>
      </c>
      <c r="AF246" s="170">
        <f t="shared" si="31"/>
        <v>1340.739</v>
      </c>
      <c r="AG246" s="170">
        <f t="shared" si="31"/>
        <v>1339.6189999999999</v>
      </c>
      <c r="AH246" s="170">
        <f t="shared" si="31"/>
        <v>1290.9499999999998</v>
      </c>
      <c r="AI246" s="170">
        <f t="shared" si="31"/>
        <v>1363.3899999999999</v>
      </c>
      <c r="AJ246" s="170">
        <f t="shared" si="31"/>
        <v>1367.74</v>
      </c>
      <c r="AK246" s="170">
        <f t="shared" si="31"/>
        <v>1373.3400000000001</v>
      </c>
      <c r="AL246" s="170">
        <f t="shared" si="31"/>
        <v>1413.04</v>
      </c>
      <c r="AM246" s="170">
        <f t="shared" si="31"/>
        <v>1394.34</v>
      </c>
      <c r="AN246" s="170">
        <f t="shared" si="31"/>
        <v>1373.94</v>
      </c>
      <c r="AO246" s="170">
        <f t="shared" si="31"/>
        <v>1299.24</v>
      </c>
      <c r="AP246" s="170">
        <f t="shared" si="31"/>
        <v>1344.8400000000001</v>
      </c>
      <c r="AQ246" s="170">
        <f t="shared" si="31"/>
        <v>1545.44</v>
      </c>
      <c r="AR246" s="170">
        <f t="shared" si="31"/>
        <v>1601.7399999999998</v>
      </c>
      <c r="AS246" s="170">
        <f t="shared" si="31"/>
        <v>1495.94</v>
      </c>
      <c r="AT246" s="170">
        <f t="shared" si="31"/>
        <v>1388.3400000000001</v>
      </c>
      <c r="AU246" s="170">
        <f t="shared" si="31"/>
        <v>1239.3399999999999</v>
      </c>
      <c r="AV246" s="170">
        <f t="shared" si="31"/>
        <v>1217.8399999999999</v>
      </c>
      <c r="AW246" s="170">
        <f t="shared" si="31"/>
        <v>1120.2399999999998</v>
      </c>
      <c r="AX246" s="170">
        <f t="shared" si="31"/>
        <v>1018.14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32">C231</f>
        <v>0.64</v>
      </c>
      <c r="C267" s="173">
        <f t="shared" si="32"/>
        <v>0.64</v>
      </c>
      <c r="D267" s="173">
        <f t="shared" si="32"/>
        <v>0.64</v>
      </c>
      <c r="E267" s="173">
        <f t="shared" si="32"/>
        <v>0.64</v>
      </c>
      <c r="F267" s="173">
        <f t="shared" si="32"/>
        <v>0.64</v>
      </c>
      <c r="G267" s="173">
        <f t="shared" si="32"/>
        <v>0.64</v>
      </c>
      <c r="H267" s="173">
        <f t="shared" si="32"/>
        <v>0.64</v>
      </c>
      <c r="I267" s="173">
        <f t="shared" si="32"/>
        <v>0.64</v>
      </c>
      <c r="J267" s="173">
        <f t="shared" si="32"/>
        <v>0.64</v>
      </c>
      <c r="K267" s="173">
        <f t="shared" si="32"/>
        <v>0.64</v>
      </c>
      <c r="L267" s="173">
        <f t="shared" si="32"/>
        <v>0.64</v>
      </c>
      <c r="M267" s="173">
        <f t="shared" si="32"/>
        <v>0.64</v>
      </c>
      <c r="N267" s="173">
        <f t="shared" si="32"/>
        <v>0.64</v>
      </c>
      <c r="O267" s="173">
        <f t="shared" si="32"/>
        <v>0.64</v>
      </c>
      <c r="P267" s="173">
        <f t="shared" si="32"/>
        <v>0</v>
      </c>
      <c r="Q267" s="173">
        <f t="shared" si="32"/>
        <v>0</v>
      </c>
      <c r="R267" s="173">
        <f t="shared" si="32"/>
        <v>0</v>
      </c>
      <c r="S267" s="173">
        <f t="shared" si="32"/>
        <v>0</v>
      </c>
      <c r="T267" s="173">
        <f t="shared" si="32"/>
        <v>0</v>
      </c>
      <c r="U267" s="173">
        <f t="shared" si="32"/>
        <v>0</v>
      </c>
      <c r="V267" s="173">
        <f t="shared" si="32"/>
        <v>0</v>
      </c>
      <c r="W267" s="173">
        <f t="shared" si="32"/>
        <v>0</v>
      </c>
      <c r="X267" s="173">
        <f t="shared" si="32"/>
        <v>0</v>
      </c>
      <c r="Y267" s="173">
        <f t="shared" si="32"/>
        <v>0</v>
      </c>
      <c r="Z267" s="173">
        <f t="shared" si="32"/>
        <v>0</v>
      </c>
      <c r="AA267" s="173">
        <f t="shared" si="32"/>
        <v>0</v>
      </c>
      <c r="AB267" s="173">
        <f t="shared" si="32"/>
        <v>0</v>
      </c>
      <c r="AC267" s="173">
        <f t="shared" si="32"/>
        <v>0</v>
      </c>
      <c r="AD267" s="173">
        <f t="shared" si="32"/>
        <v>0</v>
      </c>
      <c r="AE267" s="173">
        <f t="shared" si="3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33">IF(B235&lt;100,"",B235-520)</f>
        <v/>
      </c>
      <c r="C268" s="174" t="str">
        <f t="shared" si="33"/>
        <v/>
      </c>
      <c r="D268" s="174" t="str">
        <f t="shared" si="33"/>
        <v/>
      </c>
      <c r="E268" s="174" t="str">
        <f t="shared" si="33"/>
        <v/>
      </c>
      <c r="F268" s="174" t="str">
        <f t="shared" si="33"/>
        <v/>
      </c>
      <c r="G268" s="174" t="str">
        <f t="shared" si="33"/>
        <v/>
      </c>
      <c r="H268" s="174" t="str">
        <f t="shared" si="33"/>
        <v/>
      </c>
      <c r="I268" s="174" t="str">
        <f t="shared" si="33"/>
        <v/>
      </c>
      <c r="J268" s="174" t="str">
        <f t="shared" si="33"/>
        <v/>
      </c>
      <c r="K268" s="174" t="str">
        <f t="shared" si="33"/>
        <v/>
      </c>
      <c r="L268" s="174" t="str">
        <f t="shared" si="33"/>
        <v/>
      </c>
      <c r="M268" s="174" t="str">
        <f t="shared" si="33"/>
        <v/>
      </c>
      <c r="N268" s="174" t="str">
        <f t="shared" si="33"/>
        <v/>
      </c>
      <c r="O268" s="174" t="str">
        <f t="shared" si="33"/>
        <v/>
      </c>
      <c r="P268" s="174" t="str">
        <f t="shared" si="33"/>
        <v/>
      </c>
      <c r="Q268" s="174" t="str">
        <f t="shared" si="33"/>
        <v/>
      </c>
      <c r="R268" s="174" t="str">
        <f t="shared" si="33"/>
        <v/>
      </c>
      <c r="S268" s="174" t="str">
        <f t="shared" si="33"/>
        <v/>
      </c>
      <c r="T268" s="174" t="str">
        <f t="shared" si="33"/>
        <v/>
      </c>
      <c r="U268" s="174" t="str">
        <f t="shared" si="33"/>
        <v/>
      </c>
      <c r="V268" s="174" t="str">
        <f t="shared" si="33"/>
        <v/>
      </c>
      <c r="W268" s="174" t="str">
        <f t="shared" si="33"/>
        <v/>
      </c>
      <c r="X268" s="174" t="str">
        <f t="shared" si="33"/>
        <v/>
      </c>
      <c r="Y268" s="174" t="str">
        <f t="shared" si="33"/>
        <v/>
      </c>
      <c r="Z268" s="174" t="str">
        <f t="shared" si="33"/>
        <v/>
      </c>
      <c r="AA268" s="174" t="str">
        <f t="shared" si="33"/>
        <v/>
      </c>
      <c r="AB268" s="174" t="str">
        <f t="shared" si="33"/>
        <v/>
      </c>
      <c r="AC268" s="174" t="str">
        <f t="shared" si="33"/>
        <v/>
      </c>
      <c r="AD268" s="174" t="str">
        <f t="shared" si="33"/>
        <v/>
      </c>
      <c r="AE268" s="174" t="str">
        <f t="shared" si="33"/>
        <v/>
      </c>
      <c r="AF268" s="174" t="str">
        <f t="shared" si="3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34">IF(B236&lt;100,"",B236-620)</f>
        <v/>
      </c>
      <c r="C269" s="174" t="str">
        <f t="shared" si="34"/>
        <v/>
      </c>
      <c r="D269" s="174" t="str">
        <f t="shared" si="34"/>
        <v/>
      </c>
      <c r="E269" s="174" t="str">
        <f t="shared" si="34"/>
        <v/>
      </c>
      <c r="F269" s="174" t="str">
        <f t="shared" si="34"/>
        <v/>
      </c>
      <c r="G269" s="174" t="str">
        <f t="shared" si="34"/>
        <v/>
      </c>
      <c r="H269" s="174" t="str">
        <f t="shared" si="34"/>
        <v/>
      </c>
      <c r="I269" s="174" t="str">
        <f t="shared" si="34"/>
        <v/>
      </c>
      <c r="J269" s="174" t="str">
        <f t="shared" si="34"/>
        <v/>
      </c>
      <c r="K269" s="174" t="str">
        <f t="shared" si="34"/>
        <v/>
      </c>
      <c r="L269" s="174" t="str">
        <f t="shared" si="34"/>
        <v/>
      </c>
      <c r="M269" s="174" t="str">
        <f t="shared" si="34"/>
        <v/>
      </c>
      <c r="N269" s="174" t="str">
        <f t="shared" si="34"/>
        <v/>
      </c>
      <c r="O269" s="174" t="str">
        <f t="shared" si="34"/>
        <v/>
      </c>
      <c r="P269" s="174" t="str">
        <f t="shared" si="34"/>
        <v/>
      </c>
      <c r="Q269" s="174" t="str">
        <f t="shared" si="34"/>
        <v/>
      </c>
      <c r="R269" s="174" t="str">
        <f t="shared" si="34"/>
        <v/>
      </c>
      <c r="S269" s="174" t="str">
        <f t="shared" si="34"/>
        <v/>
      </c>
      <c r="T269" s="174" t="str">
        <f t="shared" si="34"/>
        <v/>
      </c>
      <c r="U269" s="174" t="str">
        <f t="shared" si="34"/>
        <v/>
      </c>
      <c r="V269" s="174" t="str">
        <f t="shared" si="34"/>
        <v/>
      </c>
      <c r="W269" s="174" t="str">
        <f t="shared" si="34"/>
        <v/>
      </c>
      <c r="X269" s="174" t="str">
        <f t="shared" si="34"/>
        <v/>
      </c>
      <c r="Y269" s="174" t="str">
        <f t="shared" si="34"/>
        <v/>
      </c>
      <c r="Z269" s="174" t="str">
        <f t="shared" si="34"/>
        <v/>
      </c>
      <c r="AA269" s="174" t="str">
        <f t="shared" si="34"/>
        <v/>
      </c>
      <c r="AB269" s="174" t="str">
        <f t="shared" si="34"/>
        <v/>
      </c>
      <c r="AC269" s="174" t="str">
        <f t="shared" si="34"/>
        <v/>
      </c>
      <c r="AD269" s="174" t="str">
        <f t="shared" si="34"/>
        <v/>
      </c>
      <c r="AE269" s="174" t="str">
        <f t="shared" si="34"/>
        <v/>
      </c>
      <c r="AF269" s="174" t="str">
        <f t="shared" si="3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35">IF(B237&lt;100,"",B237-330)</f>
        <v/>
      </c>
      <c r="C270" s="174" t="str">
        <f t="shared" si="35"/>
        <v/>
      </c>
      <c r="D270" s="174" t="str">
        <f t="shared" si="35"/>
        <v/>
      </c>
      <c r="E270" s="174" t="str">
        <f t="shared" si="35"/>
        <v/>
      </c>
      <c r="F270" s="174" t="str">
        <f t="shared" si="35"/>
        <v/>
      </c>
      <c r="G270" s="174" t="str">
        <f t="shared" si="35"/>
        <v/>
      </c>
      <c r="H270" s="174" t="str">
        <f t="shared" si="35"/>
        <v/>
      </c>
      <c r="I270" s="174" t="str">
        <f t="shared" si="35"/>
        <v/>
      </c>
      <c r="J270" s="174" t="str">
        <f t="shared" si="35"/>
        <v/>
      </c>
      <c r="K270" s="174" t="str">
        <f t="shared" si="35"/>
        <v/>
      </c>
      <c r="L270" s="174" t="str">
        <f t="shared" si="35"/>
        <v/>
      </c>
      <c r="M270" s="174" t="str">
        <f t="shared" si="35"/>
        <v/>
      </c>
      <c r="N270" s="174" t="str">
        <f t="shared" si="35"/>
        <v/>
      </c>
      <c r="O270" s="174" t="str">
        <f t="shared" si="35"/>
        <v/>
      </c>
      <c r="P270" s="174" t="str">
        <f t="shared" si="35"/>
        <v/>
      </c>
      <c r="Q270" s="174" t="str">
        <f t="shared" si="35"/>
        <v/>
      </c>
      <c r="R270" s="174" t="str">
        <f t="shared" si="35"/>
        <v/>
      </c>
      <c r="S270" s="174" t="str">
        <f t="shared" si="35"/>
        <v/>
      </c>
      <c r="T270" s="174" t="str">
        <f t="shared" si="35"/>
        <v/>
      </c>
      <c r="U270" s="174" t="str">
        <f t="shared" si="35"/>
        <v/>
      </c>
      <c r="V270" s="174" t="str">
        <f t="shared" si="35"/>
        <v/>
      </c>
      <c r="W270" s="174" t="str">
        <f t="shared" si="35"/>
        <v/>
      </c>
      <c r="X270" s="174" t="str">
        <f t="shared" si="35"/>
        <v/>
      </c>
      <c r="Y270" s="174" t="str">
        <f t="shared" si="35"/>
        <v/>
      </c>
      <c r="Z270" s="174" t="str">
        <f t="shared" si="35"/>
        <v/>
      </c>
      <c r="AA270" s="174" t="str">
        <f t="shared" si="35"/>
        <v/>
      </c>
      <c r="AB270" s="174" t="str">
        <f t="shared" si="35"/>
        <v/>
      </c>
      <c r="AC270" s="174" t="str">
        <f t="shared" si="35"/>
        <v/>
      </c>
      <c r="AD270" s="174" t="str">
        <f t="shared" si="35"/>
        <v/>
      </c>
      <c r="AE270" s="174" t="str">
        <f t="shared" si="35"/>
        <v/>
      </c>
      <c r="AF270" s="174" t="str">
        <f t="shared" si="3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36">IF(B238&lt;100,"",B238-1500)</f>
        <v/>
      </c>
      <c r="C271" s="174" t="str">
        <f t="shared" si="36"/>
        <v/>
      </c>
      <c r="D271" s="174" t="str">
        <f t="shared" si="36"/>
        <v/>
      </c>
      <c r="E271" s="174" t="str">
        <f t="shared" si="36"/>
        <v/>
      </c>
      <c r="F271" s="174" t="str">
        <f t="shared" si="36"/>
        <v/>
      </c>
      <c r="G271" s="174" t="str">
        <f t="shared" si="36"/>
        <v/>
      </c>
      <c r="H271" s="174" t="str">
        <f t="shared" si="36"/>
        <v/>
      </c>
      <c r="I271" s="174" t="str">
        <f t="shared" si="36"/>
        <v/>
      </c>
      <c r="J271" s="174" t="str">
        <f t="shared" si="36"/>
        <v/>
      </c>
      <c r="K271" s="174" t="str">
        <f t="shared" si="36"/>
        <v/>
      </c>
      <c r="L271" s="174" t="str">
        <f t="shared" si="36"/>
        <v/>
      </c>
      <c r="M271" s="174" t="str">
        <f t="shared" si="36"/>
        <v/>
      </c>
      <c r="N271" s="174" t="str">
        <f t="shared" si="36"/>
        <v/>
      </c>
      <c r="O271" s="174" t="str">
        <f t="shared" si="36"/>
        <v/>
      </c>
      <c r="P271" s="174" t="str">
        <f t="shared" si="36"/>
        <v/>
      </c>
      <c r="Q271" s="174" t="str">
        <f t="shared" si="36"/>
        <v/>
      </c>
      <c r="R271" s="174" t="str">
        <f t="shared" si="36"/>
        <v/>
      </c>
      <c r="S271" s="174" t="str">
        <f t="shared" si="36"/>
        <v/>
      </c>
      <c r="T271" s="174" t="str">
        <f t="shared" si="36"/>
        <v/>
      </c>
      <c r="U271" s="174" t="str">
        <f t="shared" si="36"/>
        <v/>
      </c>
      <c r="V271" s="174" t="str">
        <f t="shared" si="36"/>
        <v/>
      </c>
      <c r="W271" s="174" t="str">
        <f t="shared" si="36"/>
        <v/>
      </c>
      <c r="X271" s="174" t="str">
        <f t="shared" si="36"/>
        <v/>
      </c>
      <c r="Y271" s="174" t="str">
        <f t="shared" si="36"/>
        <v/>
      </c>
      <c r="Z271" s="174" t="str">
        <f t="shared" si="36"/>
        <v/>
      </c>
      <c r="AA271" s="174" t="str">
        <f t="shared" si="36"/>
        <v/>
      </c>
      <c r="AB271" s="174" t="str">
        <f t="shared" si="36"/>
        <v/>
      </c>
      <c r="AC271" s="174" t="str">
        <f t="shared" si="36"/>
        <v/>
      </c>
      <c r="AD271" s="174" t="str">
        <f t="shared" si="36"/>
        <v/>
      </c>
      <c r="AE271" s="174" t="str">
        <f t="shared" si="36"/>
        <v/>
      </c>
      <c r="AF271" s="174" t="str">
        <f t="shared" si="3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868" priority="491">
      <formula>B$9&gt;=20/24</formula>
    </cfRule>
    <cfRule type="expression" dxfId="1867" priority="492">
      <formula>AND(B$9&gt;=14/24,B$9&lt;20/24)</formula>
    </cfRule>
    <cfRule type="expression" dxfId="1866" priority="493">
      <formula>AND(B$9&gt;=8/24,B$9&lt;14/24)</formula>
    </cfRule>
    <cfRule type="expression" dxfId="1865" priority="494">
      <formula>B$9&lt;8/24</formula>
    </cfRule>
  </conditionalFormatting>
  <conditionalFormatting sqref="AL4:AL6">
    <cfRule type="iconSet" priority="490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864" priority="489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863" priority="488">
      <formula>$AH12=0</formula>
    </cfRule>
  </conditionalFormatting>
  <conditionalFormatting sqref="A114">
    <cfRule type="expression" dxfId="1862" priority="487">
      <formula>$AH114=0</formula>
    </cfRule>
  </conditionalFormatting>
  <conditionalFormatting sqref="AL42">
    <cfRule type="iconSet" priority="486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861" priority="485">
      <formula>$AH45=0</formula>
    </cfRule>
  </conditionalFormatting>
  <conditionalFormatting sqref="A98">
    <cfRule type="expression" dxfId="1860" priority="484">
      <formula>$AH98=0</formula>
    </cfRule>
  </conditionalFormatting>
  <conditionalFormatting sqref="A18">
    <cfRule type="expression" dxfId="1859" priority="483">
      <formula>$AH18=0</formula>
    </cfRule>
  </conditionalFormatting>
  <conditionalFormatting sqref="A196:A201">
    <cfRule type="expression" dxfId="1858" priority="482">
      <formula>$AH196=0</formula>
    </cfRule>
  </conditionalFormatting>
  <conditionalFormatting sqref="A190:A195">
    <cfRule type="expression" dxfId="1857" priority="481">
      <formula>$AH190=0</formula>
    </cfRule>
  </conditionalFormatting>
  <conditionalFormatting sqref="A58">
    <cfRule type="expression" dxfId="1856" priority="480">
      <formula>$AH58=0</formula>
    </cfRule>
  </conditionalFormatting>
  <conditionalFormatting sqref="A94">
    <cfRule type="expression" dxfId="1855" priority="479">
      <formula>$AH94=0</formula>
    </cfRule>
  </conditionalFormatting>
  <conditionalFormatting sqref="E99:X99 AD99:AF99">
    <cfRule type="expression" dxfId="1854" priority="475">
      <formula>E$9&gt;=20/24</formula>
    </cfRule>
    <cfRule type="expression" dxfId="1853" priority="476">
      <formula>AND(E$9&gt;=14/24,E$9&lt;20/24)</formula>
    </cfRule>
    <cfRule type="expression" dxfId="1852" priority="477">
      <formula>AND(E$9&gt;=8/24,E$9&lt;14/24)</formula>
    </cfRule>
    <cfRule type="expression" dxfId="1851" priority="478">
      <formula>E$9&lt;8/24</formula>
    </cfRule>
  </conditionalFormatting>
  <conditionalFormatting sqref="AL43">
    <cfRule type="iconSet" priority="47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50" priority="497">
      <formula>C$9&gt;=20/24</formula>
    </cfRule>
    <cfRule type="expression" dxfId="1849" priority="498">
      <formula>AND(C$9&gt;=14/24,C$9&lt;20/24)</formula>
    </cfRule>
    <cfRule type="expression" dxfId="1848" priority="499">
      <formula>AND(C$9&gt;=8/24,C$9&lt;14/24)</formula>
    </cfRule>
    <cfRule type="expression" dxfId="1847" priority="500">
      <formula>C$9&lt;8/24</formula>
    </cfRule>
  </conditionalFormatting>
  <conditionalFormatting sqref="A233">
    <cfRule type="expression" dxfId="1846" priority="501">
      <formula>$AH233=0</formula>
    </cfRule>
  </conditionalFormatting>
  <conditionalFormatting sqref="AG245">
    <cfRule type="expression" dxfId="1845" priority="502">
      <formula>B$9&gt;=20/24</formula>
    </cfRule>
    <cfRule type="expression" dxfId="1844" priority="503">
      <formula>AND(B$9&gt;=14/24,B$9&lt;20/24)</formula>
    </cfRule>
    <cfRule type="expression" dxfId="1843" priority="504">
      <formula>AND(B$9&gt;=8/24,B$9&lt;14/24)</formula>
    </cfRule>
    <cfRule type="expression" dxfId="1842" priority="505">
      <formula>B$9&lt;8/24</formula>
    </cfRule>
  </conditionalFormatting>
  <conditionalFormatting sqref="S8">
    <cfRule type="expression" dxfId="1841" priority="470">
      <formula>U$9&gt;=20/24</formula>
    </cfRule>
    <cfRule type="expression" dxfId="1840" priority="471">
      <formula>AND(U$9&gt;=14/24,U$9&lt;20/24)</formula>
    </cfRule>
    <cfRule type="expression" dxfId="1839" priority="472">
      <formula>AND(U$9&gt;=8/24,U$9&lt;14/24)</formula>
    </cfRule>
    <cfRule type="expression" dxfId="1838" priority="473">
      <formula>U$9&lt;8/24</formula>
    </cfRule>
  </conditionalFormatting>
  <conditionalFormatting sqref="AB8">
    <cfRule type="expression" dxfId="1837" priority="466">
      <formula>AD$9&gt;=20/24</formula>
    </cfRule>
    <cfRule type="expression" dxfId="1836" priority="467">
      <formula>AND(AD$9&gt;=14/24,AD$9&lt;20/24)</formula>
    </cfRule>
    <cfRule type="expression" dxfId="1835" priority="468">
      <formula>AND(AD$9&gt;=8/24,AD$9&lt;14/24)</formula>
    </cfRule>
    <cfRule type="expression" dxfId="1834" priority="469">
      <formula>AD$9&lt;8/24</formula>
    </cfRule>
  </conditionalFormatting>
  <conditionalFormatting sqref="AH245:AX245">
    <cfRule type="expression" dxfId="1833" priority="506">
      <formula>AG$9&gt;=20/24</formula>
    </cfRule>
    <cfRule type="expression" dxfId="1832" priority="507">
      <formula>AND(AG$9&gt;=14/24,AG$9&lt;20/24)</formula>
    </cfRule>
    <cfRule type="expression" dxfId="1831" priority="508">
      <formula>AND(AG$9&gt;=8/24,AG$9&lt;14/24)</formula>
    </cfRule>
    <cfRule type="expression" dxfId="1830" priority="509">
      <formula>AG$9&lt;8/24</formula>
    </cfRule>
  </conditionalFormatting>
  <conditionalFormatting sqref="T245">
    <cfRule type="expression" dxfId="1829" priority="510">
      <formula>AX$9&gt;=20/24</formula>
    </cfRule>
    <cfRule type="expression" dxfId="1828" priority="511">
      <formula>AND(AX$9&gt;=14/24,AX$9&lt;20/24)</formula>
    </cfRule>
    <cfRule type="expression" dxfId="1827" priority="512">
      <formula>AND(AX$9&gt;=8/24,AX$9&lt;14/24)</formula>
    </cfRule>
    <cfRule type="expression" dxfId="1826" priority="513">
      <formula>AX$9&lt;8/24</formula>
    </cfRule>
  </conditionalFormatting>
  <conditionalFormatting sqref="A115:A116">
    <cfRule type="expression" dxfId="1825" priority="465">
      <formula>$AH115=0</formula>
    </cfRule>
  </conditionalFormatting>
  <conditionalFormatting sqref="M54:Q60 R59:R60 S60:X60 AB54:AB55 Y56:AB57 AC54:AF57 E71:AF71">
    <cfRule type="expression" dxfId="1824" priority="461">
      <formula>E$9&gt;=20/24</formula>
    </cfRule>
    <cfRule type="expression" dxfId="1823" priority="462">
      <formula>AND(E$9&gt;=14/24,E$9&lt;20/24)</formula>
    </cfRule>
    <cfRule type="expression" dxfId="1822" priority="463">
      <formula>AND(E$9&gt;=8/24,E$9&lt;14/24)</formula>
    </cfRule>
    <cfRule type="expression" dxfId="1821" priority="464">
      <formula>E$9&lt;8/24</formula>
    </cfRule>
  </conditionalFormatting>
  <conditionalFormatting sqref="M53:Q53 AB53:AF53">
    <cfRule type="expression" dxfId="1820" priority="457">
      <formula>M$9&gt;=20/24</formula>
    </cfRule>
    <cfRule type="expression" dxfId="1819" priority="458">
      <formula>AND(M$9&gt;=14/24,M$9&lt;20/24)</formula>
    </cfRule>
    <cfRule type="expression" dxfId="1818" priority="459">
      <formula>AND(M$9&gt;=8/24,M$9&lt;14/24)</formula>
    </cfRule>
    <cfRule type="expression" dxfId="1817" priority="460">
      <formula>M$9&lt;8/24</formula>
    </cfRule>
  </conditionalFormatting>
  <conditionalFormatting sqref="M53:Q60 R59:R60 S60:X60 AB53:AB55 Y56:AB57 AC53:AF57">
    <cfRule type="expression" dxfId="1816" priority="456">
      <formula>M53&gt;$AG53</formula>
    </cfRule>
  </conditionalFormatting>
  <conditionalFormatting sqref="D86:AF86 E73:S73 X47:AF47 X96:AF96 AD100:AF106 F72:S72 M100:X106 T72:AB73 X74:AB74 X67:AF69 AC72:AF74">
    <cfRule type="expression" dxfId="1815" priority="452">
      <formula>D$9&gt;=20/24</formula>
    </cfRule>
    <cfRule type="expression" dxfId="1814" priority="453">
      <formula>AND(D$9&gt;=14/24,D$9&lt;20/24)</formula>
    </cfRule>
    <cfRule type="expression" dxfId="1813" priority="454">
      <formula>AND(D$9&gt;=8/24,D$9&lt;14/24)</formula>
    </cfRule>
    <cfRule type="expression" dxfId="1812" priority="455">
      <formula>D$9&lt;8/24</formula>
    </cfRule>
  </conditionalFormatting>
  <conditionalFormatting sqref="X47:AF47 X67:AF69">
    <cfRule type="expression" dxfId="1811" priority="451">
      <formula>X47&gt;$AG47</formula>
    </cfRule>
  </conditionalFormatting>
  <conditionalFormatting sqref="R53:U55 R56:S58 S59 T56:U59 V53:X59 Y53:AA55">
    <cfRule type="expression" dxfId="1810" priority="447">
      <formula>R$9&gt;=20/24</formula>
    </cfRule>
    <cfRule type="expression" dxfId="1809" priority="448">
      <formula>AND(R$9&gt;=14/24,R$9&lt;20/24)</formula>
    </cfRule>
    <cfRule type="expression" dxfId="1808" priority="449">
      <formula>AND(R$9&gt;=8/24,R$9&lt;14/24)</formula>
    </cfRule>
    <cfRule type="expression" dxfId="1807" priority="450">
      <formula>R$9&lt;8/24</formula>
    </cfRule>
  </conditionalFormatting>
  <conditionalFormatting sqref="R53:U55 R56:S58 S59 T56:U59 V53:X59 Y53:AA55">
    <cfRule type="expression" dxfId="1806" priority="446">
      <formula>R53&gt;$AG53</formula>
    </cfRule>
  </conditionalFormatting>
  <conditionalFormatting sqref="D88:AF88 C97:AF97">
    <cfRule type="expression" dxfId="1805" priority="442">
      <formula>C$9&gt;=20/24</formula>
    </cfRule>
    <cfRule type="expression" dxfId="1804" priority="443">
      <formula>AND(C$9&gt;=14/24,C$9&lt;20/24)</formula>
    </cfRule>
    <cfRule type="expression" dxfId="1803" priority="444">
      <formula>AND(C$9&gt;=8/24,C$9&lt;14/24)</formula>
    </cfRule>
    <cfRule type="expression" dxfId="1802" priority="445">
      <formula>C$9&lt;8/24</formula>
    </cfRule>
  </conditionalFormatting>
  <conditionalFormatting sqref="T47:W47">
    <cfRule type="expression" dxfId="1801" priority="438">
      <formula>T$9&gt;=20/24</formula>
    </cfRule>
    <cfRule type="expression" dxfId="1800" priority="439">
      <formula>AND(T$9&gt;=14/24,T$9&lt;20/24)</formula>
    </cfRule>
    <cfRule type="expression" dxfId="1799" priority="440">
      <formula>AND(T$9&gt;=8/24,T$9&lt;14/24)</formula>
    </cfRule>
    <cfRule type="expression" dxfId="1798" priority="441">
      <formula>T$9&lt;8/24</formula>
    </cfRule>
  </conditionalFormatting>
  <conditionalFormatting sqref="T47:W47">
    <cfRule type="expression" dxfId="1797" priority="437">
      <formula>T47&gt;$AG47</formula>
    </cfRule>
  </conditionalFormatting>
  <conditionalFormatting sqref="F54:L55">
    <cfRule type="expression" dxfId="1796" priority="433">
      <formula>F$9&gt;=20/24</formula>
    </cfRule>
    <cfRule type="expression" dxfId="1795" priority="434">
      <formula>AND(F$9&gt;=14/24,F$9&lt;20/24)</formula>
    </cfRule>
    <cfRule type="expression" dxfId="1794" priority="435">
      <formula>AND(F$9&gt;=8/24,F$9&lt;14/24)</formula>
    </cfRule>
    <cfRule type="expression" dxfId="1793" priority="436">
      <formula>F$9&lt;8/24</formula>
    </cfRule>
  </conditionalFormatting>
  <conditionalFormatting sqref="F53:L53">
    <cfRule type="expression" dxfId="1792" priority="429">
      <formula>F$9&gt;=20/24</formula>
    </cfRule>
    <cfRule type="expression" dxfId="1791" priority="430">
      <formula>AND(F$9&gt;=14/24,F$9&lt;20/24)</formula>
    </cfRule>
    <cfRule type="expression" dxfId="1790" priority="431">
      <formula>AND(F$9&gt;=8/24,F$9&lt;14/24)</formula>
    </cfRule>
    <cfRule type="expression" dxfId="1789" priority="432">
      <formula>F$9&lt;8/24</formula>
    </cfRule>
  </conditionalFormatting>
  <conditionalFormatting sqref="F53:L55">
    <cfRule type="expression" dxfId="1788" priority="428">
      <formula>F53&gt;$AG53</formula>
    </cfRule>
  </conditionalFormatting>
  <conditionalFormatting sqref="AG70 AG87 Q67:W69 E100:L106">
    <cfRule type="expression" dxfId="1787" priority="424">
      <formula>E$9&gt;=20/24</formula>
    </cfRule>
    <cfRule type="expression" dxfId="1786" priority="425">
      <formula>AND(E$9&gt;=14/24,E$9&lt;20/24)</formula>
    </cfRule>
    <cfRule type="expression" dxfId="1785" priority="426">
      <formula>AND(E$9&gt;=8/24,E$9&lt;14/24)</formula>
    </cfRule>
    <cfRule type="expression" dxfId="1784" priority="427">
      <formula>E$9&lt;8/24</formula>
    </cfRule>
  </conditionalFormatting>
  <conditionalFormatting sqref="AG48 AG66 AG70 Q67:W69">
    <cfRule type="expression" dxfId="1783" priority="423">
      <formula>Q48&gt;$AG48</formula>
    </cfRule>
  </conditionalFormatting>
  <conditionalFormatting sqref="Y58:AF58">
    <cfRule type="expression" dxfId="1782" priority="419">
      <formula>Y$9&gt;=20/24</formula>
    </cfRule>
    <cfRule type="expression" dxfId="1781" priority="420">
      <formula>AND(Y$9&gt;=14/24,Y$9&lt;20/24)</formula>
    </cfRule>
    <cfRule type="expression" dxfId="1780" priority="421">
      <formula>AND(Y$9&gt;=8/24,Y$9&lt;14/24)</formula>
    </cfRule>
    <cfRule type="expression" dxfId="1779" priority="422">
      <formula>Y$9&lt;8/24</formula>
    </cfRule>
  </conditionalFormatting>
  <conditionalFormatting sqref="Y58:AF58">
    <cfRule type="expression" dxfId="1778" priority="418">
      <formula>Y58&gt;$AG58</formula>
    </cfRule>
  </conditionalFormatting>
  <conditionalFormatting sqref="A43">
    <cfRule type="expression" dxfId="1777" priority="417">
      <formula>$AH43=0</formula>
    </cfRule>
  </conditionalFormatting>
  <conditionalFormatting sqref="X91:AF95">
    <cfRule type="expression" dxfId="1776" priority="413">
      <formula>X$9&gt;=20/24</formula>
    </cfRule>
    <cfRule type="expression" dxfId="1775" priority="414">
      <formula>AND(X$9&gt;=14/24,X$9&lt;20/24)</formula>
    </cfRule>
    <cfRule type="expression" dxfId="1774" priority="415">
      <formula>AND(X$9&gt;=8/24,X$9&lt;14/24)</formula>
    </cfRule>
    <cfRule type="expression" dxfId="1773" priority="416">
      <formula>X$9&lt;8/24</formula>
    </cfRule>
  </conditionalFormatting>
  <conditionalFormatting sqref="AL45 AL41 AL22:AL32 AL38:AL39 AL7:AL15 AL17:AL20 AL34:AL36">
    <cfRule type="iconSet" priority="514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772" priority="409">
      <formula>E$9&gt;=20/24</formula>
    </cfRule>
    <cfRule type="expression" dxfId="1771" priority="410">
      <formula>AND(E$9&gt;=14/24,E$9&lt;20/24)</formula>
    </cfRule>
    <cfRule type="expression" dxfId="1770" priority="411">
      <formula>AND(E$9&gt;=8/24,E$9&lt;14/24)</formula>
    </cfRule>
    <cfRule type="expression" dxfId="1769" priority="412">
      <formula>E$9&lt;8/24</formula>
    </cfRule>
  </conditionalFormatting>
  <conditionalFormatting sqref="E49:AF51">
    <cfRule type="expression" dxfId="1768" priority="408">
      <formula>E49&gt;$AG49</formula>
    </cfRule>
  </conditionalFormatting>
  <conditionalFormatting sqref="AG52">
    <cfRule type="expression" dxfId="1767" priority="404">
      <formula>AG$9&gt;=20/24</formula>
    </cfRule>
    <cfRule type="expression" dxfId="1766" priority="405">
      <formula>AND(AG$9&gt;=14/24,AG$9&lt;20/24)</formula>
    </cfRule>
    <cfRule type="expression" dxfId="1765" priority="406">
      <formula>AND(AG$9&gt;=8/24,AG$9&lt;14/24)</formula>
    </cfRule>
    <cfRule type="expression" dxfId="1764" priority="407">
      <formula>AG$9&lt;8/24</formula>
    </cfRule>
  </conditionalFormatting>
  <conditionalFormatting sqref="AG52">
    <cfRule type="expression" dxfId="1763" priority="403">
      <formula>AG52&gt;$AG52</formula>
    </cfRule>
  </conditionalFormatting>
  <conditionalFormatting sqref="C107:AF107">
    <cfRule type="expression" dxfId="1762" priority="399">
      <formula>C$9&gt;=20/24</formula>
    </cfRule>
    <cfRule type="expression" dxfId="1761" priority="400">
      <formula>AND(C$9&gt;=14/24,C$9&lt;20/24)</formula>
    </cfRule>
    <cfRule type="expression" dxfId="1760" priority="401">
      <formula>AND(C$9&gt;=8/24,C$9&lt;14/24)</formula>
    </cfRule>
    <cfRule type="expression" dxfId="1759" priority="402">
      <formula>C$9&lt;8/24</formula>
    </cfRule>
  </conditionalFormatting>
  <conditionalFormatting sqref="AL40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758" priority="397">
      <formula>$AH40=0</formula>
    </cfRule>
  </conditionalFormatting>
  <conditionalFormatting sqref="A90">
    <cfRule type="expression" dxfId="1757" priority="395">
      <formula>$AH90=0</formula>
    </cfRule>
  </conditionalFormatting>
  <conditionalFormatting sqref="A87">
    <cfRule type="expression" dxfId="1756" priority="396">
      <formula>$AH87=0</formula>
    </cfRule>
  </conditionalFormatting>
  <conditionalFormatting sqref="D110:AF110">
    <cfRule type="expression" dxfId="1755" priority="391">
      <formula>D$9&gt;=20/24</formula>
    </cfRule>
    <cfRule type="expression" dxfId="1754" priority="392">
      <formula>AND(D$9&gt;=14/24,D$9&lt;20/24)</formula>
    </cfRule>
    <cfRule type="expression" dxfId="1753" priority="393">
      <formula>AND(D$9&gt;=8/24,D$9&lt;14/24)</formula>
    </cfRule>
    <cfRule type="expression" dxfId="1752" priority="394">
      <formula>D$9&lt;8/24</formula>
    </cfRule>
  </conditionalFormatting>
  <conditionalFormatting sqref="A110">
    <cfRule type="expression" dxfId="1751" priority="390">
      <formula>$AH110=0</formula>
    </cfRule>
  </conditionalFormatting>
  <conditionalFormatting sqref="A21">
    <cfRule type="expression" dxfId="1750" priority="388">
      <formula>$AH21=0</formula>
    </cfRule>
  </conditionalFormatting>
  <conditionalFormatting sqref="AL21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749" priority="386">
      <formula>$AH37=0</formula>
    </cfRule>
  </conditionalFormatting>
  <conditionalFormatting sqref="AL37">
    <cfRule type="iconSet" priority="387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748" priority="382">
      <formula>Y$9&gt;=20/24</formula>
    </cfRule>
    <cfRule type="expression" dxfId="1747" priority="383">
      <formula>AND(Y$9&gt;=14/24,Y$9&lt;20/24)</formula>
    </cfRule>
    <cfRule type="expression" dxfId="1746" priority="384">
      <formula>AND(Y$9&gt;=8/24,Y$9&lt;14/24)</formula>
    </cfRule>
    <cfRule type="expression" dxfId="1745" priority="385">
      <formula>Y$9&lt;8/24</formula>
    </cfRule>
  </conditionalFormatting>
  <conditionalFormatting sqref="Y100:AC106">
    <cfRule type="expression" dxfId="1744" priority="378">
      <formula>Y$9&gt;=20/24</formula>
    </cfRule>
    <cfRule type="expression" dxfId="1743" priority="379">
      <formula>AND(Y$9&gt;=14/24,Y$9&lt;20/24)</formula>
    </cfRule>
    <cfRule type="expression" dxfId="1742" priority="380">
      <formula>AND(Y$9&gt;=8/24,Y$9&lt;14/24)</formula>
    </cfRule>
    <cfRule type="expression" dxfId="1741" priority="381">
      <formula>Y$9&lt;8/24</formula>
    </cfRule>
  </conditionalFormatting>
  <conditionalFormatting sqref="C109 C111:C116">
    <cfRule type="expression" dxfId="1740" priority="374">
      <formula>C$9&gt;=20/24</formula>
    </cfRule>
    <cfRule type="expression" dxfId="1739" priority="375">
      <formula>AND(C$9&gt;=14/24,C$9&lt;20/24)</formula>
    </cfRule>
    <cfRule type="expression" dxfId="1738" priority="376">
      <formula>AND(C$9&gt;=8/24,C$9&lt;14/24)</formula>
    </cfRule>
    <cfRule type="expression" dxfId="1737" priority="377">
      <formula>C$9&lt;8/24</formula>
    </cfRule>
  </conditionalFormatting>
  <conditionalFormatting sqref="C47:S47">
    <cfRule type="expression" dxfId="1736" priority="370">
      <formula>C$9&gt;=20/24</formula>
    </cfRule>
    <cfRule type="expression" dxfId="1735" priority="371">
      <formula>AND(C$9&gt;=14/24,C$9&lt;20/24)</formula>
    </cfRule>
    <cfRule type="expression" dxfId="1734" priority="372">
      <formula>AND(C$9&gt;=8/24,C$9&lt;14/24)</formula>
    </cfRule>
    <cfRule type="expression" dxfId="1733" priority="373">
      <formula>C$9&lt;8/24</formula>
    </cfRule>
  </conditionalFormatting>
  <conditionalFormatting sqref="C47:S47">
    <cfRule type="expression" dxfId="1732" priority="369">
      <formula>C47&gt;$AG47</formula>
    </cfRule>
  </conditionalFormatting>
  <conditionalFormatting sqref="C99:D99">
    <cfRule type="expression" dxfId="1731" priority="365">
      <formula>C$9&gt;=20/24</formula>
    </cfRule>
    <cfRule type="expression" dxfId="1730" priority="366">
      <formula>AND(C$9&gt;=14/24,C$9&lt;20/24)</formula>
    </cfRule>
    <cfRule type="expression" dxfId="1729" priority="367">
      <formula>AND(C$9&gt;=8/24,C$9&lt;14/24)</formula>
    </cfRule>
    <cfRule type="expression" dxfId="1728" priority="368">
      <formula>C$9&lt;8/24</formula>
    </cfRule>
  </conditionalFormatting>
  <conditionalFormatting sqref="D71">
    <cfRule type="expression" dxfId="1727" priority="361">
      <formula>D$9&gt;=20/24</formula>
    </cfRule>
    <cfRule type="expression" dxfId="1726" priority="362">
      <formula>AND(D$9&gt;=14/24,D$9&lt;20/24)</formula>
    </cfRule>
    <cfRule type="expression" dxfId="1725" priority="363">
      <formula>AND(D$9&gt;=8/24,D$9&lt;14/24)</formula>
    </cfRule>
    <cfRule type="expression" dxfId="1724" priority="364">
      <formula>D$9&lt;8/24</formula>
    </cfRule>
  </conditionalFormatting>
  <conditionalFormatting sqref="C86 C73:D73 C96:W96 C83:AF85 C100:D106 F67:P69 D74:W76 X75:AF76">
    <cfRule type="expression" dxfId="1723" priority="352">
      <formula>C$9&gt;=20/24</formula>
    </cfRule>
    <cfRule type="expression" dxfId="1722" priority="353">
      <formula>AND(C$9&gt;=14/24,C$9&lt;20/24)</formula>
    </cfRule>
    <cfRule type="expression" dxfId="1721" priority="354">
      <formula>AND(C$9&gt;=8/24,C$9&lt;14/24)</formula>
    </cfRule>
    <cfRule type="expression" dxfId="1720" priority="355">
      <formula>C$9&lt;8/24</formula>
    </cfRule>
  </conditionalFormatting>
  <conditionalFormatting sqref="F56:L57 F67:P69">
    <cfRule type="expression" dxfId="1719" priority="351">
      <formula>F56&gt;$AG56</formula>
    </cfRule>
  </conditionalFormatting>
  <conditionalFormatting sqref="F58:L58">
    <cfRule type="expression" dxfId="1718" priority="347">
      <formula>F$9&gt;=20/24</formula>
    </cfRule>
    <cfRule type="expression" dxfId="1717" priority="348">
      <formula>AND(F$9&gt;=14/24,F$9&lt;20/24)</formula>
    </cfRule>
    <cfRule type="expression" dxfId="1716" priority="349">
      <formula>AND(F$9&gt;=8/24,F$9&lt;14/24)</formula>
    </cfRule>
    <cfRule type="expression" dxfId="1715" priority="350">
      <formula>F$9&lt;8/24</formula>
    </cfRule>
  </conditionalFormatting>
  <conditionalFormatting sqref="F58:L58">
    <cfRule type="expression" dxfId="1714" priority="346">
      <formula>F58&gt;$AG58</formula>
    </cfRule>
  </conditionalFormatting>
  <conditionalFormatting sqref="C71">
    <cfRule type="expression" dxfId="1713" priority="265">
      <formula>C$9&gt;=20/24</formula>
    </cfRule>
    <cfRule type="expression" dxfId="1712" priority="266">
      <formula>AND(C$9&gt;=14/24,C$9&lt;20/24)</formula>
    </cfRule>
    <cfRule type="expression" dxfId="1711" priority="267">
      <formula>AND(C$9&gt;=8/24,C$9&lt;14/24)</formula>
    </cfRule>
    <cfRule type="expression" dxfId="1710" priority="268">
      <formula>C$9&lt;8/24</formula>
    </cfRule>
  </conditionalFormatting>
  <conditionalFormatting sqref="Q46:AF46">
    <cfRule type="expression" dxfId="1709" priority="342">
      <formula>Q$9&gt;=20/24</formula>
    </cfRule>
    <cfRule type="expression" dxfId="1708" priority="343">
      <formula>AND(Q$9&gt;=14/24,Q$9&lt;20/24)</formula>
    </cfRule>
    <cfRule type="expression" dxfId="1707" priority="344">
      <formula>AND(Q$9&gt;=8/24,Q$9&lt;14/24)</formula>
    </cfRule>
    <cfRule type="expression" dxfId="1706" priority="345">
      <formula>Q$9&lt;8/24</formula>
    </cfRule>
  </conditionalFormatting>
  <conditionalFormatting sqref="Q46:AF46">
    <cfRule type="expression" dxfId="1705" priority="341">
      <formula>Q46&gt;$AG46</formula>
    </cfRule>
  </conditionalFormatting>
  <conditionalFormatting sqref="C70:AF70 C87:AF87 C89:AF89 C98:AF98">
    <cfRule type="expression" dxfId="1704" priority="337">
      <formula>C$9&gt;=20/24</formula>
    </cfRule>
    <cfRule type="expression" dxfId="1703" priority="338">
      <formula>AND(C$9&gt;=14/24,C$9&lt;20/24)</formula>
    </cfRule>
    <cfRule type="expression" dxfId="1702" priority="339">
      <formula>AND(C$9&gt;=8/24,C$9&lt;14/24)</formula>
    </cfRule>
    <cfRule type="expression" dxfId="1701" priority="340">
      <formula>C$9&lt;8/24</formula>
    </cfRule>
  </conditionalFormatting>
  <conditionalFormatting sqref="C65:AF66 C70:AF70 C48:AF48">
    <cfRule type="expression" dxfId="1700" priority="336">
      <formula>C48&gt;$AG48</formula>
    </cfRule>
  </conditionalFormatting>
  <conditionalFormatting sqref="C82:AF82">
    <cfRule type="expression" dxfId="1699" priority="332">
      <formula>C$9&gt;=20/24</formula>
    </cfRule>
    <cfRule type="expression" dxfId="1698" priority="333">
      <formula>AND(C$9&gt;=14/24,C$9&lt;20/24)</formula>
    </cfRule>
    <cfRule type="expression" dxfId="1697" priority="334">
      <formula>AND(C$9&gt;=8/24,C$9&lt;14/24)</formula>
    </cfRule>
    <cfRule type="expression" dxfId="1696" priority="335">
      <formula>C$9&lt;8/24</formula>
    </cfRule>
  </conditionalFormatting>
  <conditionalFormatting sqref="C91:W95">
    <cfRule type="expression" dxfId="1695" priority="328">
      <formula>C$9&gt;=20/24</formula>
    </cfRule>
    <cfRule type="expression" dxfId="1694" priority="329">
      <formula>AND(C$9&gt;=14/24,C$9&lt;20/24)</formula>
    </cfRule>
    <cfRule type="expression" dxfId="1693" priority="330">
      <formula>AND(C$9&gt;=8/24,C$9&lt;14/24)</formula>
    </cfRule>
    <cfRule type="expression" dxfId="1692" priority="331">
      <formula>C$9&lt;8/24</formula>
    </cfRule>
  </conditionalFormatting>
  <conditionalFormatting sqref="D49">
    <cfRule type="expression" dxfId="1691" priority="324">
      <formula>D$9&gt;=20/24</formula>
    </cfRule>
    <cfRule type="expression" dxfId="1690" priority="325">
      <formula>AND(D$9&gt;=14/24,D$9&lt;20/24)</formula>
    </cfRule>
    <cfRule type="expression" dxfId="1689" priority="326">
      <formula>AND(D$9&gt;=8/24,D$9&lt;14/24)</formula>
    </cfRule>
    <cfRule type="expression" dxfId="1688" priority="327">
      <formula>D$9&lt;8/24</formula>
    </cfRule>
  </conditionalFormatting>
  <conditionalFormatting sqref="D49">
    <cfRule type="expression" dxfId="1687" priority="323">
      <formula>D49&gt;$AG49</formula>
    </cfRule>
  </conditionalFormatting>
  <conditionalFormatting sqref="C52:AF52">
    <cfRule type="expression" dxfId="1686" priority="319">
      <formula>C$9&gt;=20/24</formula>
    </cfRule>
    <cfRule type="expression" dxfId="1685" priority="320">
      <formula>AND(C$9&gt;=14/24,C$9&lt;20/24)</formula>
    </cfRule>
    <cfRule type="expression" dxfId="1684" priority="321">
      <formula>AND(C$9&gt;=8/24,C$9&lt;14/24)</formula>
    </cfRule>
    <cfRule type="expression" dxfId="1683" priority="322">
      <formula>C$9&lt;8/24</formula>
    </cfRule>
  </conditionalFormatting>
  <conditionalFormatting sqref="C52:AF52">
    <cfRule type="expression" dxfId="1682" priority="318">
      <formula>C52&gt;$AG52</formula>
    </cfRule>
  </conditionalFormatting>
  <conditionalFormatting sqref="C110">
    <cfRule type="expression" dxfId="1681" priority="310">
      <formula>C$9&gt;=20/24</formula>
    </cfRule>
    <cfRule type="expression" dxfId="1680" priority="311">
      <formula>AND(C$9&gt;=14/24,C$9&lt;20/24)</formula>
    </cfRule>
    <cfRule type="expression" dxfId="1679" priority="312">
      <formula>AND(C$9&gt;=8/24,C$9&lt;14/24)</formula>
    </cfRule>
    <cfRule type="expression" dxfId="1678" priority="313">
      <formula>C$9&lt;8/24</formula>
    </cfRule>
  </conditionalFormatting>
  <conditionalFormatting sqref="H59:L60 F59:G64 H61:X64 Y59:AF64">
    <cfRule type="expression" dxfId="1677" priority="306">
      <formula>F$9&gt;=20/24</formula>
    </cfRule>
    <cfRule type="expression" dxfId="1676" priority="307">
      <formula>AND(F$9&gt;=14/24,F$9&lt;20/24)</formula>
    </cfRule>
    <cfRule type="expression" dxfId="1675" priority="308">
      <formula>AND(F$9&gt;=8/24,F$9&lt;14/24)</formula>
    </cfRule>
    <cfRule type="expression" dxfId="1674" priority="309">
      <formula>F$9&lt;8/24</formula>
    </cfRule>
  </conditionalFormatting>
  <conditionalFormatting sqref="H59:L60 F59:G64 H61:X64 Y59:AF64">
    <cfRule type="expression" dxfId="1673" priority="305">
      <formula>F59&gt;$AG59</formula>
    </cfRule>
  </conditionalFormatting>
  <conditionalFormatting sqref="E13:J13 K13:AF15">
    <cfRule type="expression" dxfId="1672" priority="304">
      <formula>E13&gt;$AG13</formula>
    </cfRule>
  </conditionalFormatting>
  <conditionalFormatting sqref="E12:AF12">
    <cfRule type="expression" dxfId="1671" priority="300">
      <formula>E$9&gt;=20/24</formula>
    </cfRule>
    <cfRule type="expression" dxfId="1670" priority="301">
      <formula>AND(E$9&gt;=14/24,E$9&lt;20/24)</formula>
    </cfRule>
    <cfRule type="expression" dxfId="1669" priority="302">
      <formula>AND(E$9&gt;=8/24,E$9&lt;14/24)</formula>
    </cfRule>
    <cfRule type="expression" dxfId="1668" priority="303">
      <formula>E$9&lt;8/24</formula>
    </cfRule>
  </conditionalFormatting>
  <conditionalFormatting sqref="E12:AF12">
    <cfRule type="expression" dxfId="1667" priority="299">
      <formula>E12&gt;$AG12</formula>
    </cfRule>
  </conditionalFormatting>
  <conditionalFormatting sqref="E13:J13 K13:AF15">
    <cfRule type="expression" dxfId="1666" priority="295">
      <formula>E$9&gt;=20/24</formula>
    </cfRule>
    <cfRule type="expression" dxfId="1665" priority="296">
      <formula>AND(E$9&gt;=14/24,E$9&lt;20/24)</formula>
    </cfRule>
    <cfRule type="expression" dxfId="1664" priority="297">
      <formula>AND(E$9&gt;=8/24,E$9&lt;14/24)</formula>
    </cfRule>
    <cfRule type="expression" dxfId="1663" priority="298">
      <formula>E$9&lt;8/24</formula>
    </cfRule>
  </conditionalFormatting>
  <conditionalFormatting sqref="D77:F77 G77:AF81">
    <cfRule type="expression" dxfId="1662" priority="287">
      <formula>D$9&gt;=20/24</formula>
    </cfRule>
    <cfRule type="expression" dxfId="1661" priority="288">
      <formula>AND(D$9&gt;=14/24,D$9&lt;20/24)</formula>
    </cfRule>
    <cfRule type="expression" dxfId="1660" priority="289">
      <formula>AND(D$9&gt;=8/24,D$9&lt;14/24)</formula>
    </cfRule>
    <cfRule type="expression" dxfId="1659" priority="290">
      <formula>D$9&lt;8/24</formula>
    </cfRule>
  </conditionalFormatting>
  <conditionalFormatting sqref="AL78:AN78 AL84:AN84 AN79:AN80">
    <cfRule type="expression" dxfId="1658" priority="283">
      <formula>AL$9&gt;=20/24</formula>
    </cfRule>
    <cfRule type="expression" dxfId="1657" priority="284">
      <formula>AND(AL$9&gt;=14/24,AL$9&lt;20/24)</formula>
    </cfRule>
    <cfRule type="expression" dxfId="1656" priority="285">
      <formula>AND(AL$9&gt;=8/24,AL$9&lt;14/24)</formula>
    </cfRule>
    <cfRule type="expression" dxfId="1655" priority="286">
      <formula>AL$9&lt;8/24</formula>
    </cfRule>
  </conditionalFormatting>
  <conditionalFormatting sqref="AN81:AN82">
    <cfRule type="expression" dxfId="1654" priority="279">
      <formula>AN$9&gt;=20/24</formula>
    </cfRule>
    <cfRule type="expression" dxfId="1653" priority="280">
      <formula>AND(AN$9&gt;=14/24,AN$9&lt;20/24)</formula>
    </cfRule>
    <cfRule type="expression" dxfId="1652" priority="281">
      <formula>AND(AN$9&gt;=8/24,AN$9&lt;14/24)</formula>
    </cfRule>
    <cfRule type="expression" dxfId="1651" priority="282">
      <formula>AN$9&lt;8/24</formula>
    </cfRule>
  </conditionalFormatting>
  <conditionalFormatting sqref="AL79:AM83">
    <cfRule type="expression" dxfId="1650" priority="515">
      <formula>AJ$9&gt;=20/24</formula>
    </cfRule>
    <cfRule type="expression" dxfId="1649" priority="516">
      <formula>AND(AJ$9&gt;=14/24,AJ$9&lt;20/24)</formula>
    </cfRule>
    <cfRule type="expression" dxfId="1648" priority="517">
      <formula>AND(AJ$9&gt;=8/24,AJ$9&lt;14/24)</formula>
    </cfRule>
    <cfRule type="expression" dxfId="1647" priority="518">
      <formula>AJ$9&lt;8/24</formula>
    </cfRule>
  </conditionalFormatting>
  <conditionalFormatting sqref="A117">
    <cfRule type="expression" dxfId="1646" priority="278">
      <formula>$AH117=0</formula>
    </cfRule>
  </conditionalFormatting>
  <conditionalFormatting sqref="C88">
    <cfRule type="expression" dxfId="1645" priority="251">
      <formula>C$9&gt;=20/24</formula>
    </cfRule>
    <cfRule type="expression" dxfId="1644" priority="252">
      <formula>AND(C$9&gt;=14/24,C$9&lt;20/24)</formula>
    </cfRule>
    <cfRule type="expression" dxfId="1643" priority="253">
      <formula>AND(C$9&gt;=8/24,C$9&lt;14/24)</formula>
    </cfRule>
    <cfRule type="expression" dxfId="1642" priority="254">
      <formula>C$9&lt;8/24</formula>
    </cfRule>
  </conditionalFormatting>
  <conditionalFormatting sqref="A11">
    <cfRule type="expression" dxfId="1641" priority="187">
      <formula>$AH11=0</formula>
    </cfRule>
  </conditionalFormatting>
  <conditionalFormatting sqref="E11:AF11">
    <cfRule type="expression" dxfId="1640" priority="183">
      <formula>E$9&gt;=20/24</formula>
    </cfRule>
    <cfRule type="expression" dxfId="1639" priority="184">
      <formula>AND(E$9&gt;=14/24,E$9&lt;20/24)</formula>
    </cfRule>
    <cfRule type="expression" dxfId="1638" priority="185">
      <formula>AND(E$9&gt;=8/24,E$9&lt;14/24)</formula>
    </cfRule>
    <cfRule type="expression" dxfId="1637" priority="186">
      <formula>E$9&lt;8/24</formula>
    </cfRule>
  </conditionalFormatting>
  <conditionalFormatting sqref="E11:AF11">
    <cfRule type="expression" dxfId="1636" priority="182">
      <formula>E11&gt;$AG11</formula>
    </cfRule>
  </conditionalFormatting>
  <conditionalFormatting sqref="A16">
    <cfRule type="expression" dxfId="1635" priority="170">
      <formula>$AH16=0</formula>
    </cfRule>
  </conditionalFormatting>
  <conditionalFormatting sqref="AL1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634" priority="153">
      <formula>$AH33=0</formula>
    </cfRule>
  </conditionalFormatting>
  <conditionalFormatting sqref="AL3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1633" priority="136">
      <formula>$AH44=0</formula>
    </cfRule>
  </conditionalFormatting>
  <conditionalFormatting sqref="AL44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1632" priority="122">
      <formula>D$9&gt;=20/24</formula>
    </cfRule>
    <cfRule type="expression" dxfId="1631" priority="123">
      <formula>AND(D$9&gt;=14/24,D$9&lt;20/24)</formula>
    </cfRule>
    <cfRule type="expression" dxfId="1630" priority="124">
      <formula>AND(D$9&gt;=8/24,D$9&lt;14/24)</formula>
    </cfRule>
    <cfRule type="expression" dxfId="1629" priority="125">
      <formula>D$9&lt;8/24</formula>
    </cfRule>
  </conditionalFormatting>
  <conditionalFormatting sqref="C117">
    <cfRule type="expression" dxfId="1628" priority="118">
      <formula>C$9&gt;=20/24</formula>
    </cfRule>
    <cfRule type="expression" dxfId="1627" priority="119">
      <formula>AND(C$9&gt;=14/24,C$9&lt;20/24)</formula>
    </cfRule>
    <cfRule type="expression" dxfId="1626" priority="120">
      <formula>AND(C$9&gt;=8/24,C$9&lt;14/24)</formula>
    </cfRule>
    <cfRule type="expression" dxfId="1625" priority="121">
      <formula>C$9&lt;8/24</formula>
    </cfRule>
  </conditionalFormatting>
  <conditionalFormatting sqref="B109 B111:B116">
    <cfRule type="expression" dxfId="1624" priority="110">
      <formula>B$9&gt;=20/24</formula>
    </cfRule>
    <cfRule type="expression" dxfId="1623" priority="111">
      <formula>AND(B$9&gt;=14/24,B$9&lt;20/24)</formula>
    </cfRule>
    <cfRule type="expression" dxfId="1622" priority="112">
      <formula>AND(B$9&gt;=8/24,B$9&lt;14/24)</formula>
    </cfRule>
    <cfRule type="expression" dxfId="1621" priority="113">
      <formula>B$9&lt;8/24</formula>
    </cfRule>
  </conditionalFormatting>
  <conditionalFormatting sqref="B99">
    <cfRule type="expression" dxfId="1620" priority="106">
      <formula>B$9&gt;=20/24</formula>
    </cfRule>
    <cfRule type="expression" dxfId="1619" priority="107">
      <formula>AND(B$9&gt;=14/24,B$9&lt;20/24)</formula>
    </cfRule>
    <cfRule type="expression" dxfId="1618" priority="108">
      <formula>AND(B$9&gt;=8/24,B$9&lt;14/24)</formula>
    </cfRule>
    <cfRule type="expression" dxfId="1617" priority="109">
      <formula>B$9&lt;8/24</formula>
    </cfRule>
  </conditionalFormatting>
  <conditionalFormatting sqref="B71 B54:E57">
    <cfRule type="expression" dxfId="1616" priority="102">
      <formula>B$9&gt;=20/24</formula>
    </cfRule>
    <cfRule type="expression" dxfId="1615" priority="103">
      <formula>AND(B$9&gt;=14/24,B$9&lt;20/24)</formula>
    </cfRule>
    <cfRule type="expression" dxfId="1614" priority="104">
      <formula>AND(B$9&gt;=8/24,B$9&lt;14/24)</formula>
    </cfRule>
    <cfRule type="expression" dxfId="1613" priority="105">
      <formula>B$9&lt;8/24</formula>
    </cfRule>
  </conditionalFormatting>
  <conditionalFormatting sqref="B53:E53">
    <cfRule type="expression" dxfId="1612" priority="98">
      <formula>B$9&gt;=20/24</formula>
    </cfRule>
    <cfRule type="expression" dxfId="1611" priority="99">
      <formula>AND(B$9&gt;=14/24,B$9&lt;20/24)</formula>
    </cfRule>
    <cfRule type="expression" dxfId="1610" priority="100">
      <formula>AND(B$9&gt;=8/24,B$9&lt;14/24)</formula>
    </cfRule>
    <cfRule type="expression" dxfId="1609" priority="101">
      <formula>B$9&lt;8/24</formula>
    </cfRule>
  </conditionalFormatting>
  <conditionalFormatting sqref="B53:E57">
    <cfRule type="expression" dxfId="1608" priority="97">
      <formula>B53&gt;$AG53</formula>
    </cfRule>
  </conditionalFormatting>
  <conditionalFormatting sqref="B86 B96 B47 B72:B74 B100:B106 C74 B67:E69 C72:E72">
    <cfRule type="expression" dxfId="1607" priority="93">
      <formula>B$9&gt;=20/24</formula>
    </cfRule>
    <cfRule type="expression" dxfId="1606" priority="94">
      <formula>AND(B$9&gt;=14/24,B$9&lt;20/24)</formula>
    </cfRule>
    <cfRule type="expression" dxfId="1605" priority="95">
      <formula>AND(B$9&gt;=8/24,B$9&lt;14/24)</formula>
    </cfRule>
    <cfRule type="expression" dxfId="1604" priority="96">
      <formula>B$9&lt;8/24</formula>
    </cfRule>
  </conditionalFormatting>
  <conditionalFormatting sqref="B47 B67:E69">
    <cfRule type="expression" dxfId="1603" priority="92">
      <formula>B47&gt;$AG47</formula>
    </cfRule>
  </conditionalFormatting>
  <conditionalFormatting sqref="B97 B88">
    <cfRule type="expression" dxfId="1602" priority="88">
      <formula>B$9&gt;=20/24</formula>
    </cfRule>
    <cfRule type="expression" dxfId="1601" priority="89">
      <formula>AND(B$9&gt;=14/24,B$9&lt;20/24)</formula>
    </cfRule>
    <cfRule type="expression" dxfId="1600" priority="90">
      <formula>AND(B$9&gt;=8/24,B$9&lt;14/24)</formula>
    </cfRule>
    <cfRule type="expression" dxfId="1599" priority="91">
      <formula>B$9&lt;8/24</formula>
    </cfRule>
  </conditionalFormatting>
  <conditionalFormatting sqref="B58:E58">
    <cfRule type="expression" dxfId="1598" priority="84">
      <formula>B$9&gt;=20/24</formula>
    </cfRule>
    <cfRule type="expression" dxfId="1597" priority="85">
      <formula>AND(B$9&gt;=14/24,B$9&lt;20/24)</formula>
    </cfRule>
    <cfRule type="expression" dxfId="1596" priority="86">
      <formula>AND(B$9&gt;=8/24,B$9&lt;14/24)</formula>
    </cfRule>
    <cfRule type="expression" dxfId="1595" priority="87">
      <formula>B$9&lt;8/24</formula>
    </cfRule>
  </conditionalFormatting>
  <conditionalFormatting sqref="B58:E58">
    <cfRule type="expression" dxfId="1594" priority="83">
      <formula>B58&gt;$AG58</formula>
    </cfRule>
  </conditionalFormatting>
  <conditionalFormatting sqref="B91:B95">
    <cfRule type="expression" dxfId="1593" priority="79">
      <formula>B$9&gt;=20/24</formula>
    </cfRule>
    <cfRule type="expression" dxfId="1592" priority="80">
      <formula>AND(B$9&gt;=14/24,B$9&lt;20/24)</formula>
    </cfRule>
    <cfRule type="expression" dxfId="1591" priority="81">
      <formula>AND(B$9&gt;=8/24,B$9&lt;14/24)</formula>
    </cfRule>
    <cfRule type="expression" dxfId="1590" priority="82">
      <formula>B$9&lt;8/24</formula>
    </cfRule>
  </conditionalFormatting>
  <conditionalFormatting sqref="B49:C51 D50:D51">
    <cfRule type="expression" dxfId="1589" priority="75">
      <formula>B$9&gt;=20/24</formula>
    </cfRule>
    <cfRule type="expression" dxfId="1588" priority="76">
      <formula>AND(B$9&gt;=14/24,B$9&lt;20/24)</formula>
    </cfRule>
    <cfRule type="expression" dxfId="1587" priority="77">
      <formula>AND(B$9&gt;=8/24,B$9&lt;14/24)</formula>
    </cfRule>
    <cfRule type="expression" dxfId="1586" priority="78">
      <formula>B$9&lt;8/24</formula>
    </cfRule>
  </conditionalFormatting>
  <conditionalFormatting sqref="B49:C51 D50:D51">
    <cfRule type="expression" dxfId="1585" priority="74">
      <formula>B49&gt;$AG49</formula>
    </cfRule>
  </conditionalFormatting>
  <conditionalFormatting sqref="B107">
    <cfRule type="expression" dxfId="1584" priority="70">
      <formula>B$9&gt;=20/24</formula>
    </cfRule>
    <cfRule type="expression" dxfId="1583" priority="71">
      <formula>AND(B$9&gt;=14/24,B$9&lt;20/24)</formula>
    </cfRule>
    <cfRule type="expression" dxfId="1582" priority="72">
      <formula>AND(B$9&gt;=8/24,B$9&lt;14/24)</formula>
    </cfRule>
    <cfRule type="expression" dxfId="1581" priority="73">
      <formula>B$9&lt;8/24</formula>
    </cfRule>
  </conditionalFormatting>
  <conditionalFormatting sqref="B110">
    <cfRule type="expression" dxfId="1580" priority="66">
      <formula>B$9&gt;=20/24</formula>
    </cfRule>
    <cfRule type="expression" dxfId="1579" priority="67">
      <formula>AND(B$9&gt;=14/24,B$9&lt;20/24)</formula>
    </cfRule>
    <cfRule type="expression" dxfId="1578" priority="68">
      <formula>AND(B$9&gt;=8/24,B$9&lt;14/24)</formula>
    </cfRule>
    <cfRule type="expression" dxfId="1577" priority="69">
      <formula>B$9&lt;8/24</formula>
    </cfRule>
  </conditionalFormatting>
  <conditionalFormatting sqref="B83:B85 B75:C76">
    <cfRule type="expression" dxfId="1576" priority="62">
      <formula>B$9&gt;=20/24</formula>
    </cfRule>
    <cfRule type="expression" dxfId="1575" priority="63">
      <formula>AND(B$9&gt;=14/24,B$9&lt;20/24)</formula>
    </cfRule>
    <cfRule type="expression" dxfId="1574" priority="64">
      <formula>AND(B$9&gt;=8/24,B$9&lt;14/24)</formula>
    </cfRule>
    <cfRule type="expression" dxfId="1573" priority="65">
      <formula>B$9&lt;8/24</formula>
    </cfRule>
  </conditionalFormatting>
  <conditionalFormatting sqref="B46:P46">
    <cfRule type="expression" dxfId="1572" priority="58">
      <formula>B$9&gt;=20/24</formula>
    </cfRule>
    <cfRule type="expression" dxfId="1571" priority="59">
      <formula>AND(B$9&gt;=14/24,B$9&lt;20/24)</formula>
    </cfRule>
    <cfRule type="expression" dxfId="1570" priority="60">
      <formula>AND(B$9&gt;=8/24,B$9&lt;14/24)</formula>
    </cfRule>
    <cfRule type="expression" dxfId="1569" priority="61">
      <formula>B$9&lt;8/24</formula>
    </cfRule>
  </conditionalFormatting>
  <conditionalFormatting sqref="B46:P46">
    <cfRule type="expression" dxfId="1568" priority="57">
      <formula>B46&gt;$AG46</formula>
    </cfRule>
  </conditionalFormatting>
  <conditionalFormatting sqref="B70 B87 B89 B98">
    <cfRule type="expression" dxfId="1567" priority="53">
      <formula>B$9&gt;=20/24</formula>
    </cfRule>
    <cfRule type="expression" dxfId="1566" priority="54">
      <formula>AND(B$9&gt;=14/24,B$9&lt;20/24)</formula>
    </cfRule>
    <cfRule type="expression" dxfId="1565" priority="55">
      <formula>AND(B$9&gt;=8/24,B$9&lt;14/24)</formula>
    </cfRule>
    <cfRule type="expression" dxfId="1564" priority="56">
      <formula>B$9&lt;8/24</formula>
    </cfRule>
  </conditionalFormatting>
  <conditionalFormatting sqref="B48 B65:B66 B70">
    <cfRule type="expression" dxfId="1563" priority="52">
      <formula>B48&gt;$AG48</formula>
    </cfRule>
  </conditionalFormatting>
  <conditionalFormatting sqref="B82">
    <cfRule type="expression" dxfId="1562" priority="48">
      <formula>B$9&gt;=20/24</formula>
    </cfRule>
    <cfRule type="expression" dxfId="1561" priority="49">
      <formula>AND(B$9&gt;=14/24,B$9&lt;20/24)</formula>
    </cfRule>
    <cfRule type="expression" dxfId="1560" priority="50">
      <formula>AND(B$9&gt;=8/24,B$9&lt;14/24)</formula>
    </cfRule>
    <cfRule type="expression" dxfId="1559" priority="51">
      <formula>B$9&lt;8/24</formula>
    </cfRule>
  </conditionalFormatting>
  <conditionalFormatting sqref="B52">
    <cfRule type="expression" dxfId="1558" priority="44">
      <formula>B$9&gt;=20/24</formula>
    </cfRule>
    <cfRule type="expression" dxfId="1557" priority="45">
      <formula>AND(B$9&gt;=14/24,B$9&lt;20/24)</formula>
    </cfRule>
    <cfRule type="expression" dxfId="1556" priority="46">
      <formula>AND(B$9&gt;=8/24,B$9&lt;14/24)</formula>
    </cfRule>
    <cfRule type="expression" dxfId="1555" priority="47">
      <formula>B$9&lt;8/24</formula>
    </cfRule>
  </conditionalFormatting>
  <conditionalFormatting sqref="B52">
    <cfRule type="expression" dxfId="1554" priority="43">
      <formula>B52&gt;$AG52</formula>
    </cfRule>
  </conditionalFormatting>
  <conditionalFormatting sqref="B59:E64">
    <cfRule type="expression" dxfId="1553" priority="35">
      <formula>B$9&gt;=20/24</formula>
    </cfRule>
    <cfRule type="expression" dxfId="1552" priority="36">
      <formula>AND(B$9&gt;=14/24,B$9&lt;20/24)</formula>
    </cfRule>
    <cfRule type="expression" dxfId="1551" priority="37">
      <formula>AND(B$9&gt;=8/24,B$9&lt;14/24)</formula>
    </cfRule>
    <cfRule type="expression" dxfId="1550" priority="38">
      <formula>B$9&lt;8/24</formula>
    </cfRule>
  </conditionalFormatting>
  <conditionalFormatting sqref="B59:E64">
    <cfRule type="expression" dxfId="1549" priority="34">
      <formula>B59&gt;$AG59</formula>
    </cfRule>
  </conditionalFormatting>
  <conditionalFormatting sqref="B77:C81 D78:F81">
    <cfRule type="expression" dxfId="1548" priority="30">
      <formula>B$9&gt;=20/24</formula>
    </cfRule>
    <cfRule type="expression" dxfId="1547" priority="31">
      <formula>AND(B$9&gt;=14/24,B$9&lt;20/24)</formula>
    </cfRule>
    <cfRule type="expression" dxfId="1546" priority="32">
      <formula>AND(B$9&gt;=8/24,B$9&lt;14/24)</formula>
    </cfRule>
    <cfRule type="expression" dxfId="1545" priority="33">
      <formula>B$9&lt;8/24</formula>
    </cfRule>
  </conditionalFormatting>
  <conditionalFormatting sqref="B12:D15 E14:J15 B34:AF43 B45:AF45 B17:AF32">
    <cfRule type="expression" dxfId="1544" priority="26">
      <formula>B$9&gt;=20/24</formula>
    </cfRule>
    <cfRule type="expression" dxfId="1543" priority="27">
      <formula>AND(B$9&gt;=14/24,B$9&lt;20/24)</formula>
    </cfRule>
    <cfRule type="expression" dxfId="1542" priority="28">
      <formula>AND(B$9&gt;=8/24,B$9&lt;14/24)</formula>
    </cfRule>
    <cfRule type="expression" dxfId="1541" priority="29">
      <formula>B$9&lt;8/24</formula>
    </cfRule>
  </conditionalFormatting>
  <conditionalFormatting sqref="B12:D15 E14:J15 B34:AF43 B45:AF45 B17:AF32">
    <cfRule type="expression" dxfId="1540" priority="25">
      <formula>B12&gt;$AG12</formula>
    </cfRule>
  </conditionalFormatting>
  <conditionalFormatting sqref="B11:D11">
    <cfRule type="expression" dxfId="1539" priority="21">
      <formula>B$9&gt;=20/24</formula>
    </cfRule>
    <cfRule type="expression" dxfId="1538" priority="22">
      <formula>AND(B$9&gt;=14/24,B$9&lt;20/24)</formula>
    </cfRule>
    <cfRule type="expression" dxfId="1537" priority="23">
      <formula>AND(B$9&gt;=8/24,B$9&lt;14/24)</formula>
    </cfRule>
    <cfRule type="expression" dxfId="1536" priority="24">
      <formula>B$9&lt;8/24</formula>
    </cfRule>
  </conditionalFormatting>
  <conditionalFormatting sqref="B11:D11">
    <cfRule type="expression" dxfId="1535" priority="20">
      <formula>B11&gt;$AG11</formula>
    </cfRule>
  </conditionalFormatting>
  <conditionalFormatting sqref="B16:AF16">
    <cfRule type="expression" dxfId="1534" priority="16">
      <formula>B$9&gt;=20/24</formula>
    </cfRule>
    <cfRule type="expression" dxfId="1533" priority="17">
      <formula>AND(B$9&gt;=14/24,B$9&lt;20/24)</formula>
    </cfRule>
    <cfRule type="expression" dxfId="1532" priority="18">
      <formula>AND(B$9&gt;=8/24,B$9&lt;14/24)</formula>
    </cfRule>
    <cfRule type="expression" dxfId="1531" priority="19">
      <formula>B$9&lt;8/24</formula>
    </cfRule>
  </conditionalFormatting>
  <conditionalFormatting sqref="B16:AF16">
    <cfRule type="expression" dxfId="1530" priority="15">
      <formula>B16&gt;$AG16</formula>
    </cfRule>
  </conditionalFormatting>
  <conditionalFormatting sqref="B33:AF33">
    <cfRule type="expression" dxfId="1529" priority="11">
      <formula>B$9&gt;=20/24</formula>
    </cfRule>
    <cfRule type="expression" dxfId="1528" priority="12">
      <formula>AND(B$9&gt;=14/24,B$9&lt;20/24)</formula>
    </cfRule>
    <cfRule type="expression" dxfId="1527" priority="13">
      <formula>AND(B$9&gt;=8/24,B$9&lt;14/24)</formula>
    </cfRule>
    <cfRule type="expression" dxfId="1526" priority="14">
      <formula>B$9&lt;8/24</formula>
    </cfRule>
  </conditionalFormatting>
  <conditionalFormatting sqref="B33:AF33">
    <cfRule type="expression" dxfId="1525" priority="10">
      <formula>B33&gt;$AG33</formula>
    </cfRule>
  </conditionalFormatting>
  <conditionalFormatting sqref="B44:AF44">
    <cfRule type="expression" dxfId="1524" priority="6">
      <formula>B$9&gt;=20/24</formula>
    </cfRule>
    <cfRule type="expression" dxfId="1523" priority="7">
      <formula>AND(B$9&gt;=14/24,B$9&lt;20/24)</formula>
    </cfRule>
    <cfRule type="expression" dxfId="1522" priority="8">
      <formula>AND(B$9&gt;=8/24,B$9&lt;14/24)</formula>
    </cfRule>
    <cfRule type="expression" dxfId="1521" priority="9">
      <formula>B$9&lt;8/24</formula>
    </cfRule>
  </conditionalFormatting>
  <conditionalFormatting sqref="B44:AF44">
    <cfRule type="expression" dxfId="1520" priority="5">
      <formula>B44&gt;$AG44</formula>
    </cfRule>
  </conditionalFormatting>
  <conditionalFormatting sqref="B117">
    <cfRule type="expression" dxfId="1519" priority="1">
      <formula>B$9&gt;=20/24</formula>
    </cfRule>
    <cfRule type="expression" dxfId="1518" priority="2">
      <formula>AND(B$9&gt;=14/24,B$9&lt;20/24)</formula>
    </cfRule>
    <cfRule type="expression" dxfId="1517" priority="3">
      <formula>AND(B$9&gt;=8/24,B$9&lt;14/24)</formula>
    </cfRule>
    <cfRule type="expression" dxfId="1516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4" id="{0D2E104C-B10A-4D16-A5EA-30C3BF6A0D9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5" id="{263EADE9-74A1-44CC-8A74-011E1027FBC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6" id="{F5DCEC87-8A96-43BC-8256-EE70175C598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7" id="{2B4189F5-8779-4E33-94DE-F824D1946A1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39" id="{A651B4AF-CD9C-46CD-8AC4-71D8A3CE7F8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0DCA0E1D-0038-4818-A141-E01B5D36D3D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" id="{4FB1F322-53F7-469C-B181-AF5323F480B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" id="{1F6C546A-0BA6-4A1A-A779-5BC59460046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8"/>
  <sheetViews>
    <sheetView workbookViewId="0">
      <pane ySplit="10" topLeftCell="A92" activePane="bottomLeft" state="frozen"/>
      <selection activeCell="Z85" sqref="Z85"/>
      <selection pane="bottomLeft" activeCell="M118" sqref="M1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4" t="s">
        <v>1</v>
      </c>
      <c r="AH1" s="214"/>
      <c r="AI1" s="214"/>
      <c r="AL1" s="2"/>
    </row>
    <row r="2" spans="1:88" ht="20.25" x14ac:dyDescent="0.25">
      <c r="A2" s="3"/>
      <c r="B2" s="215" t="s">
        <v>2</v>
      </c>
      <c r="C2" s="4"/>
      <c r="D2" s="217" t="s">
        <v>3</v>
      </c>
      <c r="E2" s="4"/>
      <c r="F2" s="217" t="s">
        <v>4</v>
      </c>
      <c r="G2" s="4"/>
      <c r="H2" s="217" t="s">
        <v>5</v>
      </c>
      <c r="I2" s="5"/>
      <c r="J2" s="21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16"/>
      <c r="C3" s="16"/>
      <c r="D3" s="218"/>
      <c r="E3" s="16"/>
      <c r="F3" s="218"/>
      <c r="G3" s="16"/>
      <c r="H3" s="218"/>
      <c r="I3" s="17"/>
      <c r="J3" s="21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8" t="e">
        <f ca="1">"2079/"&amp;"11/"&amp;INT(MID(CELL("filename",D6),FIND("]",CELL("filename",D6))+1,200))</f>
        <v>#VALUE!</v>
      </c>
      <c r="C4" s="208"/>
      <c r="D4" s="208"/>
      <c r="E4" s="209" t="e">
        <f ca="1">"2079/"&amp;"11/"&amp;INT(MID(CELL("filename",G6),FIND("]",CELL("filename",G6))+1,200))</f>
        <v>#VALUE!</v>
      </c>
      <c r="F4" s="209"/>
      <c r="G4" s="209"/>
      <c r="H4" s="209" t="e">
        <f ca="1">TEXT(E4,"dddd")</f>
        <v>#VALUE!</v>
      </c>
      <c r="I4" s="209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525</v>
      </c>
      <c r="C5" s="30">
        <f t="shared" si="0"/>
        <v>510</v>
      </c>
      <c r="D5" s="30">
        <f t="shared" si="0"/>
        <v>514.4</v>
      </c>
      <c r="E5" s="30">
        <f t="shared" si="0"/>
        <v>521.4</v>
      </c>
      <c r="F5" s="30">
        <f t="shared" si="0"/>
        <v>553.40000000000009</v>
      </c>
      <c r="G5" s="30">
        <f t="shared" si="0"/>
        <v>558</v>
      </c>
      <c r="H5" s="30">
        <f t="shared" si="0"/>
        <v>549.79999999999995</v>
      </c>
      <c r="I5" s="30">
        <f t="shared" si="0"/>
        <v>508.4</v>
      </c>
      <c r="J5" s="30">
        <f t="shared" si="0"/>
        <v>467.1</v>
      </c>
      <c r="K5" s="30">
        <f t="shared" si="0"/>
        <v>468.7</v>
      </c>
      <c r="L5" s="30">
        <f t="shared" si="0"/>
        <v>526.4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B82</f>
        <v>539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1396MW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B89</f>
        <v>1018.64</v>
      </c>
      <c r="C7" s="35">
        <f t="shared" si="1"/>
        <v>1004.64</v>
      </c>
      <c r="D7" s="35">
        <f t="shared" si="1"/>
        <v>989.64</v>
      </c>
      <c r="E7" s="35">
        <f t="shared" si="1"/>
        <v>965.54</v>
      </c>
      <c r="F7" s="35">
        <f t="shared" si="1"/>
        <v>971.23900000000003</v>
      </c>
      <c r="G7" s="35">
        <f t="shared" si="1"/>
        <v>1016.2390000000001</v>
      </c>
      <c r="H7" s="35">
        <f t="shared" si="1"/>
        <v>1107.3389999999999</v>
      </c>
      <c r="I7" s="35">
        <f t="shared" si="1"/>
        <v>1162.6489999999999</v>
      </c>
      <c r="J7" s="35">
        <f t="shared" si="1"/>
        <v>1256.049</v>
      </c>
      <c r="K7" s="35">
        <f t="shared" si="1"/>
        <v>1396.1489999999999</v>
      </c>
      <c r="L7" s="35">
        <f t="shared" si="1"/>
        <v>1389.64</v>
      </c>
      <c r="M7" s="35">
        <f t="shared" si="1"/>
        <v>1256.6399999999999</v>
      </c>
      <c r="N7" s="35">
        <f>N89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0" t="s">
        <v>14</v>
      </c>
      <c r="C8" s="211"/>
      <c r="D8" s="211"/>
      <c r="E8" s="211"/>
      <c r="F8" s="211"/>
      <c r="G8" s="211"/>
      <c r="H8" s="211"/>
      <c r="I8" s="211"/>
      <c r="J8" s="211"/>
      <c r="K8" s="211"/>
      <c r="L8" s="212"/>
      <c r="M8" s="203" t="s">
        <v>15</v>
      </c>
      <c r="N8" s="204"/>
      <c r="O8" s="204"/>
      <c r="P8" s="204"/>
      <c r="Q8" s="204"/>
      <c r="R8" s="205"/>
      <c r="S8" s="203" t="s">
        <v>16</v>
      </c>
      <c r="T8" s="204"/>
      <c r="U8" s="204"/>
      <c r="V8" s="204"/>
      <c r="W8" s="204"/>
      <c r="X8" s="204"/>
      <c r="Y8" s="204"/>
      <c r="Z8" s="204"/>
      <c r="AA8" s="205"/>
      <c r="AB8" s="203" t="s">
        <v>17</v>
      </c>
      <c r="AC8" s="204"/>
      <c r="AD8" s="204"/>
      <c r="AE8" s="204"/>
      <c r="AF8" s="20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6" t="s">
        <v>18</v>
      </c>
      <c r="B9" s="202">
        <v>0</v>
      </c>
      <c r="C9" s="202">
        <v>4.1666666666666664E-2</v>
      </c>
      <c r="D9" s="202">
        <v>8.3333333333333301E-2</v>
      </c>
      <c r="E9" s="202">
        <v>0.125</v>
      </c>
      <c r="F9" s="202">
        <v>0.16666666666666699</v>
      </c>
      <c r="G9" s="202">
        <v>0.20833333333333301</v>
      </c>
      <c r="H9" s="202">
        <v>0.22916666666666666</v>
      </c>
      <c r="I9" s="202">
        <v>0.25</v>
      </c>
      <c r="J9" s="202">
        <v>0.27083333333333331</v>
      </c>
      <c r="K9" s="202">
        <v>0.29166666666666669</v>
      </c>
      <c r="L9" s="202">
        <v>0.3125</v>
      </c>
      <c r="M9" s="200">
        <v>0.33333333333333331</v>
      </c>
      <c r="N9" s="200">
        <v>0.375</v>
      </c>
      <c r="O9" s="200">
        <v>0.41666666666666702</v>
      </c>
      <c r="P9" s="200">
        <v>0.45833333333333298</v>
      </c>
      <c r="Q9" s="200">
        <v>0.5</v>
      </c>
      <c r="R9" s="200">
        <v>0.54166666666666696</v>
      </c>
      <c r="S9" s="196">
        <v>0.58333333333333304</v>
      </c>
      <c r="T9" s="196">
        <v>0.625</v>
      </c>
      <c r="U9" s="196">
        <v>0.66666666666666696</v>
      </c>
      <c r="V9" s="196">
        <v>0.70833333333333304</v>
      </c>
      <c r="W9" s="196">
        <v>0.72916666666666663</v>
      </c>
      <c r="X9" s="196">
        <v>0.75</v>
      </c>
      <c r="Y9" s="196">
        <v>0.77083333333333337</v>
      </c>
      <c r="Z9" s="196">
        <v>0.79166666666666663</v>
      </c>
      <c r="AA9" s="196">
        <v>0.8125</v>
      </c>
      <c r="AB9" s="196">
        <v>0.83333333333333337</v>
      </c>
      <c r="AC9" s="196">
        <v>0.85416666666666663</v>
      </c>
      <c r="AD9" s="196">
        <v>0.875</v>
      </c>
      <c r="AE9" s="196">
        <v>0.91666666666666696</v>
      </c>
      <c r="AF9" s="196">
        <v>0.95833333333333304</v>
      </c>
      <c r="AG9" s="198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7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1"/>
      <c r="N10" s="201"/>
      <c r="O10" s="201"/>
      <c r="P10" s="201"/>
      <c r="Q10" s="201"/>
      <c r="R10" s="201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9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255</v>
      </c>
      <c r="B11" s="45">
        <v>24</v>
      </c>
      <c r="C11" s="45">
        <v>24</v>
      </c>
      <c r="D11" s="45">
        <v>24</v>
      </c>
      <c r="E11" s="45">
        <v>23</v>
      </c>
      <c r="F11" s="45">
        <v>23</v>
      </c>
      <c r="G11" s="45">
        <v>23</v>
      </c>
      <c r="H11" s="45">
        <v>23</v>
      </c>
      <c r="I11" s="45">
        <v>23</v>
      </c>
      <c r="J11" s="45">
        <v>23</v>
      </c>
      <c r="K11" s="45">
        <v>23</v>
      </c>
      <c r="L11" s="45">
        <v>23</v>
      </c>
      <c r="M11" s="45">
        <v>23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4" si="2">MAX(B11:AF11)</f>
        <v>24</v>
      </c>
      <c r="AI11" s="48">
        <f t="shared" ref="AI11:AI74" si="3">MIN(B11:AF11)</f>
        <v>23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19</v>
      </c>
      <c r="B12" s="45">
        <v>14.5</v>
      </c>
      <c r="C12" s="45">
        <v>14.5</v>
      </c>
      <c r="D12" s="45">
        <v>14.5</v>
      </c>
      <c r="E12" s="45">
        <v>14.5</v>
      </c>
      <c r="F12" s="45">
        <v>14.1</v>
      </c>
      <c r="G12" s="45">
        <v>14.1</v>
      </c>
      <c r="H12" s="45">
        <v>14.1</v>
      </c>
      <c r="I12" s="45">
        <v>14.1</v>
      </c>
      <c r="J12" s="45">
        <v>14.1</v>
      </c>
      <c r="K12" s="45">
        <v>14.1</v>
      </c>
      <c r="L12" s="45">
        <v>14</v>
      </c>
      <c r="M12" s="45">
        <v>14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>
        <v>52.4</v>
      </c>
      <c r="AH12" s="47">
        <f t="shared" si="2"/>
        <v>14.5</v>
      </c>
      <c r="AI12" s="48">
        <f t="shared" si="3"/>
        <v>14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28.1</v>
      </c>
      <c r="C13" s="45">
        <v>28.1</v>
      </c>
      <c r="D13" s="45">
        <v>28.1</v>
      </c>
      <c r="E13" s="45">
        <v>28.1</v>
      </c>
      <c r="F13" s="45">
        <v>31.3</v>
      </c>
      <c r="G13" s="45">
        <v>31.3</v>
      </c>
      <c r="H13" s="45">
        <v>31.3</v>
      </c>
      <c r="I13" s="45">
        <v>31.3</v>
      </c>
      <c r="J13" s="45">
        <v>31.3</v>
      </c>
      <c r="K13" s="45">
        <v>31.3</v>
      </c>
      <c r="L13" s="45">
        <v>30.7</v>
      </c>
      <c r="M13" s="45">
        <v>30.7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0">
        <v>50</v>
      </c>
      <c r="AH13" s="47">
        <f t="shared" si="2"/>
        <v>31.3</v>
      </c>
      <c r="AI13" s="48">
        <f t="shared" si="3"/>
        <v>28.1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19.100000000000001</v>
      </c>
      <c r="C14" s="45">
        <v>19.100000000000001</v>
      </c>
      <c r="D14" s="45">
        <v>19.100000000000001</v>
      </c>
      <c r="E14" s="45">
        <v>19.100000000000001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15.4</v>
      </c>
      <c r="M14" s="45">
        <v>15.4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0">
        <v>45</v>
      </c>
      <c r="AH14" s="47">
        <f t="shared" si="2"/>
        <v>19.100000000000001</v>
      </c>
      <c r="AI14" s="48">
        <f t="shared" si="3"/>
        <v>15.4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7</v>
      </c>
      <c r="C15" s="45">
        <v>7</v>
      </c>
      <c r="D15" s="45">
        <v>7</v>
      </c>
      <c r="E15" s="45">
        <v>7</v>
      </c>
      <c r="F15" s="45">
        <v>7.9989999999999997</v>
      </c>
      <c r="G15" s="45">
        <v>7.9989999999999997</v>
      </c>
      <c r="H15" s="45">
        <v>7.9989999999999997</v>
      </c>
      <c r="I15" s="45">
        <v>7.9989999999999997</v>
      </c>
      <c r="J15" s="45">
        <v>7.9989999999999997</v>
      </c>
      <c r="K15" s="45">
        <v>7.9989999999999997</v>
      </c>
      <c r="L15" s="45">
        <v>8</v>
      </c>
      <c r="M15" s="45">
        <v>8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0">
        <v>42</v>
      </c>
      <c r="AH15" s="47">
        <f t="shared" si="2"/>
        <v>8</v>
      </c>
      <c r="AI15" s="48">
        <f t="shared" si="3"/>
        <v>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256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0">
        <v>36</v>
      </c>
      <c r="AH16" s="47">
        <f t="shared" si="2"/>
        <v>0</v>
      </c>
      <c r="AI16" s="48">
        <f t="shared" si="3"/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30</v>
      </c>
      <c r="AH18" s="47">
        <f t="shared" si="2"/>
        <v>7.5</v>
      </c>
      <c r="AI18" s="48">
        <f t="shared" si="3"/>
        <v>7.5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6.6</v>
      </c>
      <c r="C19" s="45">
        <v>6.6</v>
      </c>
      <c r="D19" s="45">
        <v>6.6</v>
      </c>
      <c r="E19" s="45">
        <v>6.6</v>
      </c>
      <c r="F19" s="45">
        <v>6.6</v>
      </c>
      <c r="G19" s="45">
        <v>6.6</v>
      </c>
      <c r="H19" s="45">
        <v>6.6</v>
      </c>
      <c r="I19" s="45">
        <v>6.6</v>
      </c>
      <c r="J19" s="45">
        <v>6.6</v>
      </c>
      <c r="K19" s="45">
        <v>6.6</v>
      </c>
      <c r="L19" s="45">
        <v>6.6</v>
      </c>
      <c r="M19" s="45">
        <v>6.6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0">
        <v>24.2</v>
      </c>
      <c r="AH19" s="47">
        <f t="shared" si="2"/>
        <v>6.6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8</v>
      </c>
      <c r="C20" s="45">
        <v>8</v>
      </c>
      <c r="D20" s="45">
        <v>8</v>
      </c>
      <c r="E20" s="45">
        <v>8</v>
      </c>
      <c r="F20" s="45">
        <v>8</v>
      </c>
      <c r="G20" s="45">
        <v>8</v>
      </c>
      <c r="H20" s="45">
        <v>8</v>
      </c>
      <c r="I20" s="45">
        <v>8</v>
      </c>
      <c r="J20" s="45">
        <v>8</v>
      </c>
      <c r="K20" s="45">
        <v>8</v>
      </c>
      <c r="L20" s="45">
        <v>8</v>
      </c>
      <c r="M20" s="45">
        <v>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0">
        <v>28</v>
      </c>
      <c r="AH20" s="47">
        <f t="shared" si="2"/>
        <v>8</v>
      </c>
      <c r="AI20" s="48">
        <f t="shared" si="3"/>
        <v>8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7</v>
      </c>
      <c r="C21" s="45">
        <v>7</v>
      </c>
      <c r="D21" s="45">
        <v>7</v>
      </c>
      <c r="E21" s="45">
        <v>7</v>
      </c>
      <c r="F21" s="45">
        <v>7</v>
      </c>
      <c r="G21" s="45">
        <v>7</v>
      </c>
      <c r="H21" s="45">
        <v>7</v>
      </c>
      <c r="I21" s="45">
        <v>7</v>
      </c>
      <c r="J21" s="45">
        <v>7</v>
      </c>
      <c r="K21" s="45">
        <v>7</v>
      </c>
      <c r="L21" s="45">
        <v>7</v>
      </c>
      <c r="M21" s="45">
        <v>7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30</v>
      </c>
      <c r="AH21" s="47">
        <f t="shared" si="2"/>
        <v>7</v>
      </c>
      <c r="AI21" s="48">
        <f t="shared" si="3"/>
        <v>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6.5</v>
      </c>
      <c r="C23" s="45">
        <v>6.5</v>
      </c>
      <c r="D23" s="45">
        <v>6.5</v>
      </c>
      <c r="E23" s="45">
        <v>6.5</v>
      </c>
      <c r="F23" s="45">
        <v>6.5</v>
      </c>
      <c r="G23" s="45">
        <v>6.5</v>
      </c>
      <c r="H23" s="45">
        <v>6.5</v>
      </c>
      <c r="I23" s="45">
        <v>6.5</v>
      </c>
      <c r="J23" s="45">
        <v>6.5</v>
      </c>
      <c r="K23" s="45">
        <v>6.5</v>
      </c>
      <c r="L23" s="45">
        <v>6.5</v>
      </c>
      <c r="M23" s="45">
        <v>6.5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0">
        <v>25</v>
      </c>
      <c r="AH23" s="47">
        <f t="shared" si="2"/>
        <v>6.5</v>
      </c>
      <c r="AI23" s="48">
        <f t="shared" si="3"/>
        <v>6.5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7.8</v>
      </c>
      <c r="C25" s="45">
        <v>7.8</v>
      </c>
      <c r="D25" s="45">
        <v>7.8</v>
      </c>
      <c r="E25" s="45">
        <v>7.8</v>
      </c>
      <c r="F25" s="45">
        <v>7.8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0">
        <v>25</v>
      </c>
      <c r="AH25" s="47">
        <f t="shared" si="2"/>
        <v>7.8</v>
      </c>
      <c r="AI25" s="48">
        <f t="shared" si="3"/>
        <v>7.8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7.1</v>
      </c>
      <c r="C26" s="45">
        <v>7.1</v>
      </c>
      <c r="D26" s="45">
        <v>7.1</v>
      </c>
      <c r="E26" s="45">
        <v>7.1</v>
      </c>
      <c r="F26" s="45">
        <v>7.1</v>
      </c>
      <c r="G26" s="45">
        <v>7.1</v>
      </c>
      <c r="H26" s="45">
        <v>7.1</v>
      </c>
      <c r="I26" s="45">
        <v>7.1</v>
      </c>
      <c r="J26" s="45">
        <v>7.1</v>
      </c>
      <c r="K26" s="45">
        <v>7.1</v>
      </c>
      <c r="L26" s="45">
        <v>7.1</v>
      </c>
      <c r="M26" s="45">
        <v>7.1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0">
        <v>23.5</v>
      </c>
      <c r="AH26" s="47">
        <f t="shared" si="2"/>
        <v>7.1</v>
      </c>
      <c r="AI26" s="48">
        <f t="shared" si="3"/>
        <v>7.1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7</v>
      </c>
      <c r="I27" s="45">
        <v>7</v>
      </c>
      <c r="J27" s="45">
        <v>7</v>
      </c>
      <c r="K27" s="45">
        <v>7</v>
      </c>
      <c r="L27" s="45">
        <v>7</v>
      </c>
      <c r="M27" s="45">
        <v>7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0">
        <v>22.2</v>
      </c>
      <c r="AH27" s="47">
        <f t="shared" si="2"/>
        <v>7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</v>
      </c>
      <c r="C28" s="45">
        <v>7</v>
      </c>
      <c r="D28" s="45">
        <v>7</v>
      </c>
      <c r="E28" s="45">
        <v>7</v>
      </c>
      <c r="F28" s="45">
        <v>7</v>
      </c>
      <c r="G28" s="45">
        <v>7</v>
      </c>
      <c r="H28" s="45">
        <v>7</v>
      </c>
      <c r="I28" s="45">
        <v>7</v>
      </c>
      <c r="J28" s="45">
        <v>7</v>
      </c>
      <c r="K28" s="45">
        <v>7</v>
      </c>
      <c r="L28" s="45">
        <v>7</v>
      </c>
      <c r="M28" s="45">
        <v>7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0">
        <v>22.1</v>
      </c>
      <c r="AH28" s="47">
        <f t="shared" si="2"/>
        <v>7</v>
      </c>
      <c r="AI28" s="48">
        <f t="shared" si="3"/>
        <v>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</v>
      </c>
      <c r="C29" s="45">
        <v>8</v>
      </c>
      <c r="D29" s="45">
        <v>8</v>
      </c>
      <c r="E29" s="45">
        <v>8</v>
      </c>
      <c r="F29" s="45">
        <v>8</v>
      </c>
      <c r="G29" s="45">
        <v>8</v>
      </c>
      <c r="H29" s="45">
        <v>8</v>
      </c>
      <c r="I29" s="45">
        <v>8</v>
      </c>
      <c r="J29" s="45">
        <v>8</v>
      </c>
      <c r="K29" s="45">
        <v>8</v>
      </c>
      <c r="L29" s="45">
        <v>8</v>
      </c>
      <c r="M29" s="45">
        <v>8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0">
        <v>22</v>
      </c>
      <c r="AH29" s="47">
        <f t="shared" si="2"/>
        <v>8</v>
      </c>
      <c r="AI29" s="48">
        <f t="shared" si="3"/>
        <v>8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0">
        <v>22</v>
      </c>
      <c r="AH30" s="47">
        <f t="shared" si="2"/>
        <v>7</v>
      </c>
      <c r="AI30" s="48">
        <f t="shared" si="3"/>
        <v>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3.8</v>
      </c>
      <c r="C32" s="45">
        <v>3.8</v>
      </c>
      <c r="D32" s="45">
        <v>3.8</v>
      </c>
      <c r="E32" s="45">
        <v>3.8</v>
      </c>
      <c r="F32" s="45">
        <v>3.8</v>
      </c>
      <c r="G32" s="45">
        <v>3.8</v>
      </c>
      <c r="H32" s="45">
        <v>3.8</v>
      </c>
      <c r="I32" s="45">
        <v>3.8</v>
      </c>
      <c r="J32" s="45">
        <v>3.8</v>
      </c>
      <c r="K32" s="45">
        <v>3.8</v>
      </c>
      <c r="L32" s="45">
        <v>3.8</v>
      </c>
      <c r="M32" s="45">
        <v>3.8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0">
        <v>18</v>
      </c>
      <c r="AH32" s="47">
        <f t="shared" si="2"/>
        <v>3.8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257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41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0">
        <v>13</v>
      </c>
      <c r="AH36" s="47">
        <f t="shared" si="2"/>
        <v>5</v>
      </c>
      <c r="AI36" s="48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0">
        <v>12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4.8</v>
      </c>
      <c r="C38" s="45">
        <v>4.8</v>
      </c>
      <c r="D38" s="45">
        <v>4.8</v>
      </c>
      <c r="E38" s="45">
        <v>4.8</v>
      </c>
      <c r="F38" s="45">
        <v>4.8</v>
      </c>
      <c r="G38" s="45">
        <v>4.8</v>
      </c>
      <c r="H38" s="45">
        <v>4.8</v>
      </c>
      <c r="I38" s="45">
        <v>4.8</v>
      </c>
      <c r="J38" s="45">
        <v>4.8</v>
      </c>
      <c r="K38" s="45">
        <v>4.8</v>
      </c>
      <c r="L38" s="45">
        <v>4.8</v>
      </c>
      <c r="M38" s="45">
        <v>4.8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0">
        <v>12</v>
      </c>
      <c r="AH38" s="47">
        <f t="shared" si="2"/>
        <v>4.8</v>
      </c>
      <c r="AI38" s="48">
        <f t="shared" si="3"/>
        <v>4.8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45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2">
        <v>22</v>
      </c>
      <c r="AH40" s="47">
        <f t="shared" si="2"/>
        <v>6</v>
      </c>
      <c r="AI40" s="48">
        <f t="shared" si="3"/>
        <v>6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46</v>
      </c>
      <c r="B41" s="45">
        <v>5.2</v>
      </c>
      <c r="C41" s="45">
        <v>5.2</v>
      </c>
      <c r="D41" s="45">
        <v>5.2</v>
      </c>
      <c r="E41" s="45">
        <v>5.2</v>
      </c>
      <c r="F41" s="45">
        <v>5.2</v>
      </c>
      <c r="G41" s="45">
        <v>5.2</v>
      </c>
      <c r="H41" s="45">
        <v>5.2</v>
      </c>
      <c r="I41" s="45">
        <v>5.2</v>
      </c>
      <c r="J41" s="45">
        <v>5.2</v>
      </c>
      <c r="K41" s="45">
        <v>5.2</v>
      </c>
      <c r="L41" s="45">
        <v>5.2</v>
      </c>
      <c r="M41" s="45">
        <v>5.2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1">
        <v>11.88</v>
      </c>
      <c r="AH41" s="47">
        <f t="shared" si="2"/>
        <v>5.2</v>
      </c>
      <c r="AI41" s="48">
        <f t="shared" si="3"/>
        <v>5.2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47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48</v>
      </c>
      <c r="B43" s="45">
        <v>4</v>
      </c>
      <c r="C43" s="45">
        <v>4</v>
      </c>
      <c r="D43" s="45">
        <v>4</v>
      </c>
      <c r="E43" s="45">
        <v>4</v>
      </c>
      <c r="F43" s="45">
        <v>4</v>
      </c>
      <c r="G43" s="45">
        <v>4</v>
      </c>
      <c r="H43" s="45">
        <v>4</v>
      </c>
      <c r="I43" s="45">
        <v>4</v>
      </c>
      <c r="J43" s="45">
        <v>4</v>
      </c>
      <c r="K43" s="45">
        <v>4</v>
      </c>
      <c r="L43" s="45">
        <v>4</v>
      </c>
      <c r="M43" s="45">
        <v>4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4">
        <v>10</v>
      </c>
      <c r="AH43" s="47">
        <f t="shared" si="2"/>
        <v>4</v>
      </c>
      <c r="AI43" s="48">
        <f t="shared" si="3"/>
        <v>4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258</v>
      </c>
      <c r="B44" s="45">
        <v>3.5</v>
      </c>
      <c r="C44" s="45">
        <v>3.5</v>
      </c>
      <c r="D44" s="45">
        <v>3.5</v>
      </c>
      <c r="E44" s="45">
        <v>3.5</v>
      </c>
      <c r="F44" s="45">
        <v>3.5</v>
      </c>
      <c r="G44" s="45">
        <v>3.5</v>
      </c>
      <c r="H44" s="45">
        <v>3.5</v>
      </c>
      <c r="I44" s="45">
        <v>3.5</v>
      </c>
      <c r="J44" s="45">
        <v>3.5</v>
      </c>
      <c r="K44" s="45">
        <v>3.5</v>
      </c>
      <c r="L44" s="45">
        <v>3.5</v>
      </c>
      <c r="M44" s="45">
        <v>3.5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10</v>
      </c>
      <c r="AH44" s="47">
        <f t="shared" si="2"/>
        <v>3.5</v>
      </c>
      <c r="AI44" s="48">
        <f t="shared" si="3"/>
        <v>3.5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49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50</v>
      </c>
      <c r="B46" s="56">
        <v>100</v>
      </c>
      <c r="C46" s="56">
        <v>100</v>
      </c>
      <c r="D46" s="56">
        <v>100</v>
      </c>
      <c r="E46" s="56">
        <v>100</v>
      </c>
      <c r="F46" s="56">
        <v>100</v>
      </c>
      <c r="G46" s="56">
        <v>100</v>
      </c>
      <c r="H46" s="56">
        <v>100</v>
      </c>
      <c r="I46" s="56">
        <v>100</v>
      </c>
      <c r="J46" s="56">
        <v>100</v>
      </c>
      <c r="K46" s="56">
        <v>100</v>
      </c>
      <c r="L46" s="56">
        <v>100</v>
      </c>
      <c r="M46" s="56">
        <v>100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4">
        <v>85</v>
      </c>
      <c r="AH46" s="47">
        <f t="shared" si="2"/>
        <v>100</v>
      </c>
      <c r="AI46" s="48">
        <f t="shared" si="3"/>
        <v>100</v>
      </c>
      <c r="AK46" s="49"/>
    </row>
    <row r="47" spans="1:88" ht="15.75" thickBot="1" x14ac:dyDescent="0.3">
      <c r="A47" s="57" t="s">
        <v>51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52</v>
      </c>
      <c r="B48" s="60">
        <f t="shared" ref="B48:AG48" si="4">SUM(B12:B46)</f>
        <v>341.7</v>
      </c>
      <c r="C48" s="60">
        <f t="shared" si="4"/>
        <v>341.7</v>
      </c>
      <c r="D48" s="60">
        <f t="shared" si="4"/>
        <v>341.7</v>
      </c>
      <c r="E48" s="60">
        <f t="shared" si="4"/>
        <v>341.7</v>
      </c>
      <c r="F48" s="60">
        <f t="shared" si="4"/>
        <v>342.399</v>
      </c>
      <c r="G48" s="60">
        <f t="shared" si="4"/>
        <v>342.399</v>
      </c>
      <c r="H48" s="60">
        <f t="shared" si="4"/>
        <v>342.399</v>
      </c>
      <c r="I48" s="60">
        <f t="shared" si="4"/>
        <v>342.399</v>
      </c>
      <c r="J48" s="60">
        <f t="shared" si="4"/>
        <v>342.399</v>
      </c>
      <c r="K48" s="60">
        <f t="shared" si="4"/>
        <v>342.399</v>
      </c>
      <c r="L48" s="60">
        <f t="shared" si="4"/>
        <v>341.1</v>
      </c>
      <c r="M48" s="60">
        <f t="shared" si="4"/>
        <v>341.1</v>
      </c>
      <c r="N48" s="60">
        <f t="shared" si="4"/>
        <v>0</v>
      </c>
      <c r="O48" s="60">
        <f t="shared" si="4"/>
        <v>0</v>
      </c>
      <c r="P48" s="60">
        <f t="shared" si="4"/>
        <v>0</v>
      </c>
      <c r="Q48" s="60">
        <f t="shared" si="4"/>
        <v>0</v>
      </c>
      <c r="R48" s="60">
        <f t="shared" si="4"/>
        <v>0</v>
      </c>
      <c r="S48" s="60">
        <f t="shared" si="4"/>
        <v>0</v>
      </c>
      <c r="T48" s="60">
        <f t="shared" si="4"/>
        <v>0</v>
      </c>
      <c r="U48" s="60">
        <f t="shared" si="4"/>
        <v>0</v>
      </c>
      <c r="V48" s="60">
        <f t="shared" si="4"/>
        <v>0</v>
      </c>
      <c r="W48" s="60">
        <f t="shared" si="4"/>
        <v>0</v>
      </c>
      <c r="X48" s="60">
        <f t="shared" si="4"/>
        <v>0</v>
      </c>
      <c r="Y48" s="60">
        <f t="shared" si="4"/>
        <v>0</v>
      </c>
      <c r="Z48" s="60">
        <f t="shared" si="4"/>
        <v>0</v>
      </c>
      <c r="AA48" s="60">
        <f t="shared" si="4"/>
        <v>0</v>
      </c>
      <c r="AB48" s="60">
        <f t="shared" si="4"/>
        <v>0</v>
      </c>
      <c r="AC48" s="60">
        <f t="shared" si="4"/>
        <v>0</v>
      </c>
      <c r="AD48" s="60">
        <f t="shared" si="4"/>
        <v>0</v>
      </c>
      <c r="AE48" s="60">
        <f t="shared" si="4"/>
        <v>0</v>
      </c>
      <c r="AF48" s="60">
        <f t="shared" si="4"/>
        <v>0</v>
      </c>
      <c r="AG48" s="61">
        <f t="shared" si="4"/>
        <v>875.68</v>
      </c>
      <c r="AH48" s="47">
        <f t="shared" si="2"/>
        <v>342.399</v>
      </c>
      <c r="AI48" s="48">
        <f t="shared" si="3"/>
        <v>0</v>
      </c>
      <c r="AK48" s="49"/>
    </row>
    <row r="49" spans="1:41" x14ac:dyDescent="0.25">
      <c r="A49" s="62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80</v>
      </c>
      <c r="J49" s="45">
        <v>150</v>
      </c>
      <c r="K49" s="45">
        <v>160</v>
      </c>
      <c r="L49" s="45">
        <v>165</v>
      </c>
      <c r="M49" s="63">
        <v>125</v>
      </c>
      <c r="N49" s="63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1">
        <v>456</v>
      </c>
      <c r="AH49" s="47">
        <f t="shared" si="2"/>
        <v>165</v>
      </c>
      <c r="AI49" s="48">
        <f t="shared" si="3"/>
        <v>0</v>
      </c>
      <c r="AK49" s="49"/>
    </row>
    <row r="50" spans="1:41" x14ac:dyDescent="0.25">
      <c r="A50" s="64" t="s">
        <v>54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54">
        <v>60</v>
      </c>
      <c r="AH50" s="47">
        <f t="shared" si="2"/>
        <v>25</v>
      </c>
      <c r="AI50" s="48">
        <f t="shared" si="3"/>
        <v>25</v>
      </c>
      <c r="AK50" s="49"/>
    </row>
    <row r="51" spans="1:41" ht="15.75" thickBot="1" x14ac:dyDescent="0.3">
      <c r="A51" s="66" t="s">
        <v>55</v>
      </c>
      <c r="B51" s="67">
        <v>9.5</v>
      </c>
      <c r="C51" s="67">
        <v>9.5</v>
      </c>
      <c r="D51" s="67">
        <v>9.5</v>
      </c>
      <c r="E51" s="67">
        <v>9.5</v>
      </c>
      <c r="F51" s="67">
        <v>9.6</v>
      </c>
      <c r="G51" s="67">
        <v>9.6</v>
      </c>
      <c r="H51" s="67">
        <v>9.6</v>
      </c>
      <c r="I51" s="67">
        <v>9.6</v>
      </c>
      <c r="J51" s="67">
        <v>10.1</v>
      </c>
      <c r="K51" s="67">
        <v>10.1</v>
      </c>
      <c r="L51" s="67">
        <v>10.1</v>
      </c>
      <c r="M51" s="67">
        <v>10.199999999999999</v>
      </c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8">
        <v>22.1</v>
      </c>
      <c r="AH51" s="47">
        <f t="shared" si="2"/>
        <v>10.199999999999999</v>
      </c>
      <c r="AI51" s="48">
        <f t="shared" si="3"/>
        <v>9.5</v>
      </c>
      <c r="AK51" s="49"/>
    </row>
    <row r="52" spans="1:41" ht="15.75" thickBot="1" x14ac:dyDescent="0.3">
      <c r="A52" s="69" t="s">
        <v>56</v>
      </c>
      <c r="B52" s="60">
        <f t="shared" ref="B52:AG52" si="5">SUM(B49:B51)</f>
        <v>34.5</v>
      </c>
      <c r="C52" s="60">
        <f t="shared" si="5"/>
        <v>34.5</v>
      </c>
      <c r="D52" s="60">
        <f t="shared" si="5"/>
        <v>34.5</v>
      </c>
      <c r="E52" s="60">
        <f t="shared" si="5"/>
        <v>34.5</v>
      </c>
      <c r="F52" s="60">
        <f t="shared" si="5"/>
        <v>34.6</v>
      </c>
      <c r="G52" s="60">
        <f t="shared" si="5"/>
        <v>34.6</v>
      </c>
      <c r="H52" s="60">
        <f t="shared" si="5"/>
        <v>64.599999999999994</v>
      </c>
      <c r="I52" s="60">
        <f t="shared" si="5"/>
        <v>114.6</v>
      </c>
      <c r="J52" s="60">
        <f t="shared" si="5"/>
        <v>185.1</v>
      </c>
      <c r="K52" s="60">
        <f t="shared" si="5"/>
        <v>195.1</v>
      </c>
      <c r="L52" s="60">
        <f t="shared" si="5"/>
        <v>200.1</v>
      </c>
      <c r="M52" s="60">
        <f t="shared" si="5"/>
        <v>160.19999999999999</v>
      </c>
      <c r="N52" s="60">
        <f t="shared" si="5"/>
        <v>0</v>
      </c>
      <c r="O52" s="60">
        <f t="shared" si="5"/>
        <v>0</v>
      </c>
      <c r="P52" s="60">
        <f t="shared" si="5"/>
        <v>0</v>
      </c>
      <c r="Q52" s="60">
        <f t="shared" si="5"/>
        <v>0</v>
      </c>
      <c r="R52" s="60">
        <f t="shared" si="5"/>
        <v>0</v>
      </c>
      <c r="S52" s="60">
        <f t="shared" si="5"/>
        <v>0</v>
      </c>
      <c r="T52" s="60">
        <f t="shared" si="5"/>
        <v>0</v>
      </c>
      <c r="U52" s="60">
        <f t="shared" si="5"/>
        <v>0</v>
      </c>
      <c r="V52" s="60">
        <f t="shared" si="5"/>
        <v>0</v>
      </c>
      <c r="W52" s="60">
        <f t="shared" si="5"/>
        <v>0</v>
      </c>
      <c r="X52" s="60">
        <f t="shared" si="5"/>
        <v>0</v>
      </c>
      <c r="Y52" s="60">
        <f t="shared" si="5"/>
        <v>0</v>
      </c>
      <c r="Z52" s="60">
        <f t="shared" si="5"/>
        <v>0</v>
      </c>
      <c r="AA52" s="60">
        <f t="shared" si="5"/>
        <v>0</v>
      </c>
      <c r="AB52" s="60">
        <f t="shared" si="5"/>
        <v>0</v>
      </c>
      <c r="AC52" s="60">
        <f t="shared" si="5"/>
        <v>0</v>
      </c>
      <c r="AD52" s="60">
        <f t="shared" si="5"/>
        <v>0</v>
      </c>
      <c r="AE52" s="60">
        <f t="shared" si="5"/>
        <v>0</v>
      </c>
      <c r="AF52" s="60">
        <f t="shared" si="5"/>
        <v>0</v>
      </c>
      <c r="AG52" s="61">
        <f t="shared" si="5"/>
        <v>538.1</v>
      </c>
      <c r="AH52" s="47">
        <f t="shared" si="2"/>
        <v>200.1</v>
      </c>
      <c r="AI52" s="48">
        <f t="shared" si="3"/>
        <v>0</v>
      </c>
      <c r="AK52" s="49"/>
    </row>
    <row r="53" spans="1:41" x14ac:dyDescent="0.25">
      <c r="A53" s="44" t="s">
        <v>57</v>
      </c>
      <c r="B53" s="45">
        <v>30</v>
      </c>
      <c r="C53" s="45">
        <v>30</v>
      </c>
      <c r="D53" s="45">
        <v>30</v>
      </c>
      <c r="E53" s="45">
        <v>0</v>
      </c>
      <c r="F53" s="45">
        <v>0</v>
      </c>
      <c r="G53" s="45">
        <v>0</v>
      </c>
      <c r="H53" s="45">
        <v>35</v>
      </c>
      <c r="I53" s="45">
        <v>42.4</v>
      </c>
      <c r="J53" s="45">
        <v>81.2</v>
      </c>
      <c r="K53" s="45">
        <v>93.1</v>
      </c>
      <c r="L53" s="45">
        <v>93.2</v>
      </c>
      <c r="M53" s="45">
        <v>93.2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1">
        <v>144</v>
      </c>
      <c r="AH53" s="47">
        <f t="shared" si="2"/>
        <v>93.2</v>
      </c>
      <c r="AI53" s="48">
        <f t="shared" si="3"/>
        <v>0</v>
      </c>
      <c r="AK53" s="49"/>
    </row>
    <row r="54" spans="1:41" x14ac:dyDescent="0.25">
      <c r="A54" s="53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/>
      <c r="O54" s="65"/>
      <c r="P54" s="65"/>
      <c r="Q54" s="6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65"/>
      <c r="AC54" s="65"/>
      <c r="AD54" s="65"/>
      <c r="AE54" s="65"/>
      <c r="AF54" s="65"/>
      <c r="AG54" s="54">
        <v>70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59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21.4</v>
      </c>
      <c r="I55" s="65">
        <v>21.4</v>
      </c>
      <c r="J55" s="65">
        <v>47.4</v>
      </c>
      <c r="K55" s="65">
        <v>55.5</v>
      </c>
      <c r="L55" s="65">
        <v>42</v>
      </c>
      <c r="M55" s="65">
        <v>41.4</v>
      </c>
      <c r="N55" s="65"/>
      <c r="O55" s="65"/>
      <c r="P55" s="65"/>
      <c r="Q55" s="6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65"/>
      <c r="AC55" s="65"/>
      <c r="AD55" s="65"/>
      <c r="AE55" s="65"/>
      <c r="AF55" s="65"/>
      <c r="AG55" s="54">
        <v>69</v>
      </c>
      <c r="AH55" s="47">
        <f t="shared" si="2"/>
        <v>55.5</v>
      </c>
      <c r="AI55" s="48">
        <f t="shared" si="3"/>
        <v>0</v>
      </c>
      <c r="AK55" s="49"/>
    </row>
    <row r="56" spans="1:41" x14ac:dyDescent="0.25">
      <c r="A56" s="53" t="s">
        <v>60</v>
      </c>
      <c r="B56" s="65">
        <v>37</v>
      </c>
      <c r="C56" s="65">
        <v>37</v>
      </c>
      <c r="D56" s="65">
        <v>37</v>
      </c>
      <c r="E56" s="56">
        <v>38.299999999999997</v>
      </c>
      <c r="F56" s="56">
        <v>38.299999999999997</v>
      </c>
      <c r="G56" s="56">
        <v>38.299999999999997</v>
      </c>
      <c r="H56" s="56">
        <v>38.4</v>
      </c>
      <c r="I56" s="56">
        <v>38.9</v>
      </c>
      <c r="J56" s="56">
        <v>38.299999999999997</v>
      </c>
      <c r="K56" s="56">
        <v>38.299999999999997</v>
      </c>
      <c r="L56" s="56">
        <v>38.299999999999997</v>
      </c>
      <c r="M56" s="65">
        <v>38.1</v>
      </c>
      <c r="N56" s="65"/>
      <c r="O56" s="65"/>
      <c r="P56" s="65"/>
      <c r="Q56" s="65"/>
      <c r="R56" s="45"/>
      <c r="S56" s="45"/>
      <c r="T56" s="45"/>
      <c r="U56" s="45"/>
      <c r="V56" s="4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4">
        <v>60</v>
      </c>
      <c r="AH56" s="47">
        <f t="shared" si="2"/>
        <v>38.9</v>
      </c>
      <c r="AI56" s="48">
        <f t="shared" si="3"/>
        <v>37</v>
      </c>
      <c r="AK56" s="49"/>
    </row>
    <row r="57" spans="1:41" x14ac:dyDescent="0.25">
      <c r="A57" s="53" t="s">
        <v>61</v>
      </c>
      <c r="B57" s="65">
        <v>0</v>
      </c>
      <c r="C57" s="65">
        <v>0</v>
      </c>
      <c r="D57" s="65">
        <v>0</v>
      </c>
      <c r="E57" s="56">
        <v>0</v>
      </c>
      <c r="F57" s="56">
        <v>0</v>
      </c>
      <c r="G57" s="56">
        <v>13</v>
      </c>
      <c r="H57" s="56">
        <v>13</v>
      </c>
      <c r="I57" s="56">
        <v>13.5</v>
      </c>
      <c r="J57" s="56">
        <v>13.6</v>
      </c>
      <c r="K57" s="56">
        <v>15</v>
      </c>
      <c r="L57" s="56">
        <v>15</v>
      </c>
      <c r="M57" s="56">
        <v>15</v>
      </c>
      <c r="N57" s="65"/>
      <c r="O57" s="65"/>
      <c r="P57" s="65"/>
      <c r="Q57" s="65"/>
      <c r="R57" s="45"/>
      <c r="S57" s="45"/>
      <c r="T57" s="45"/>
      <c r="U57" s="45"/>
      <c r="V57" s="4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4">
        <v>30</v>
      </c>
      <c r="AH57" s="47">
        <f t="shared" si="2"/>
        <v>15</v>
      </c>
      <c r="AI57" s="48">
        <f t="shared" si="3"/>
        <v>0</v>
      </c>
      <c r="AK57" s="49"/>
    </row>
    <row r="58" spans="1:41" x14ac:dyDescent="0.25">
      <c r="A58" s="53" t="s">
        <v>62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2</v>
      </c>
      <c r="M58" s="45">
        <v>2</v>
      </c>
      <c r="N58" s="65"/>
      <c r="O58" s="65"/>
      <c r="P58" s="65"/>
      <c r="Q58" s="65"/>
      <c r="R58" s="45"/>
      <c r="S58" s="45"/>
      <c r="T58" s="45"/>
      <c r="U58" s="45"/>
      <c r="V58" s="45"/>
      <c r="W58" s="45"/>
      <c r="X58" s="65"/>
      <c r="Y58" s="65"/>
      <c r="Z58" s="65"/>
      <c r="AA58" s="65"/>
      <c r="AB58" s="65"/>
      <c r="AC58" s="65"/>
      <c r="AD58" s="65"/>
      <c r="AE58" s="65"/>
      <c r="AF58" s="65"/>
      <c r="AG58" s="54">
        <v>25</v>
      </c>
      <c r="AH58" s="47">
        <f t="shared" si="2"/>
        <v>2</v>
      </c>
      <c r="AI58" s="48">
        <f t="shared" si="3"/>
        <v>0</v>
      </c>
      <c r="AK58" s="49"/>
    </row>
    <row r="59" spans="1:41" x14ac:dyDescent="0.25">
      <c r="A59" s="53" t="s">
        <v>63</v>
      </c>
      <c r="B59" s="65">
        <v>12</v>
      </c>
      <c r="C59" s="65">
        <v>12</v>
      </c>
      <c r="D59" s="65">
        <v>12</v>
      </c>
      <c r="E59" s="65">
        <v>12</v>
      </c>
      <c r="F59" s="65">
        <v>12</v>
      </c>
      <c r="G59" s="65">
        <v>12</v>
      </c>
      <c r="H59" s="65">
        <v>12</v>
      </c>
      <c r="I59" s="65">
        <v>12</v>
      </c>
      <c r="J59" s="65">
        <v>12</v>
      </c>
      <c r="K59" s="65">
        <v>12</v>
      </c>
      <c r="L59" s="65">
        <v>12</v>
      </c>
      <c r="M59" s="65">
        <v>12</v>
      </c>
      <c r="N59" s="65"/>
      <c r="O59" s="65"/>
      <c r="P59" s="65"/>
      <c r="Q59" s="65"/>
      <c r="R59" s="45"/>
      <c r="S59" s="45"/>
      <c r="T59" s="45"/>
      <c r="U59" s="45"/>
      <c r="V59" s="4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4">
        <v>24</v>
      </c>
      <c r="AH59" s="47">
        <f t="shared" si="2"/>
        <v>12</v>
      </c>
      <c r="AI59" s="48">
        <f t="shared" si="3"/>
        <v>12</v>
      </c>
      <c r="AK59" s="49"/>
    </row>
    <row r="60" spans="1:41" x14ac:dyDescent="0.25">
      <c r="A60" s="53" t="s">
        <v>64</v>
      </c>
      <c r="B60" s="65">
        <v>3.4</v>
      </c>
      <c r="C60" s="65">
        <v>3.4</v>
      </c>
      <c r="D60" s="65">
        <v>3.4</v>
      </c>
      <c r="E60" s="65">
        <v>3.4</v>
      </c>
      <c r="F60" s="65">
        <v>3.4</v>
      </c>
      <c r="G60" s="65">
        <v>3.4</v>
      </c>
      <c r="H60" s="65">
        <v>3.4</v>
      </c>
      <c r="I60" s="65">
        <v>3.41</v>
      </c>
      <c r="J60" s="65">
        <v>3.41</v>
      </c>
      <c r="K60" s="65">
        <v>3.41</v>
      </c>
      <c r="L60" s="65">
        <v>3.4</v>
      </c>
      <c r="M60" s="65">
        <v>3.4</v>
      </c>
      <c r="N60" s="65"/>
      <c r="O60" s="65"/>
      <c r="P60" s="65"/>
      <c r="Q60" s="65"/>
      <c r="R60" s="45"/>
      <c r="S60" s="45"/>
      <c r="T60" s="45"/>
      <c r="U60" s="45"/>
      <c r="V60" s="4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4">
        <v>15</v>
      </c>
      <c r="AH60" s="47">
        <f t="shared" si="2"/>
        <v>3.41</v>
      </c>
      <c r="AI60" s="48">
        <f t="shared" si="3"/>
        <v>3.4</v>
      </c>
      <c r="AK60" s="49"/>
      <c r="AL60" s="70"/>
      <c r="AO60" s="70"/>
    </row>
    <row r="61" spans="1:41" s="70" customFormat="1" x14ac:dyDescent="0.25">
      <c r="A61" s="53" t="s">
        <v>65</v>
      </c>
      <c r="B61" s="65">
        <v>8.9</v>
      </c>
      <c r="C61" s="65">
        <v>8.9</v>
      </c>
      <c r="D61" s="65">
        <v>8.9</v>
      </c>
      <c r="E61" s="65">
        <v>9.1</v>
      </c>
      <c r="F61" s="65">
        <v>6.8</v>
      </c>
      <c r="G61" s="65">
        <v>6.8</v>
      </c>
      <c r="H61" s="65">
        <v>6.8</v>
      </c>
      <c r="I61" s="65">
        <v>9.8000000000000007</v>
      </c>
      <c r="J61" s="65">
        <v>9.8000000000000007</v>
      </c>
      <c r="K61" s="65">
        <v>9.8000000000000007</v>
      </c>
      <c r="L61" s="65">
        <v>9.8000000000000007</v>
      </c>
      <c r="M61" s="65">
        <v>9.8000000000000007</v>
      </c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54">
        <v>14.1</v>
      </c>
      <c r="AH61" s="47">
        <f t="shared" si="2"/>
        <v>9.8000000000000007</v>
      </c>
      <c r="AI61" s="48">
        <f t="shared" si="3"/>
        <v>6.8</v>
      </c>
      <c r="AJ61" s="1"/>
      <c r="AK61" s="49"/>
      <c r="AL61" s="1"/>
      <c r="AM61" s="1"/>
      <c r="AN61" s="1"/>
      <c r="AO61" s="1"/>
    </row>
    <row r="62" spans="1:41" x14ac:dyDescent="0.25">
      <c r="A62" s="71" t="s">
        <v>66</v>
      </c>
      <c r="B62" s="65">
        <v>3</v>
      </c>
      <c r="C62" s="65">
        <v>3</v>
      </c>
      <c r="D62" s="65">
        <v>3</v>
      </c>
      <c r="E62" s="65">
        <v>3</v>
      </c>
      <c r="F62" s="65">
        <v>3.2</v>
      </c>
      <c r="G62" s="65">
        <v>3.2</v>
      </c>
      <c r="H62" s="65">
        <v>3.2</v>
      </c>
      <c r="I62" s="65">
        <v>5.3</v>
      </c>
      <c r="J62" s="65">
        <v>5.3</v>
      </c>
      <c r="K62" s="65">
        <v>5.3</v>
      </c>
      <c r="L62" s="65">
        <v>4.9000000000000004</v>
      </c>
      <c r="M62" s="65">
        <v>4.9000000000000004</v>
      </c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54">
        <v>14</v>
      </c>
      <c r="AH62" s="47">
        <f t="shared" si="2"/>
        <v>5.3</v>
      </c>
      <c r="AI62" s="48">
        <f t="shared" si="3"/>
        <v>3</v>
      </c>
      <c r="AK62" s="49"/>
    </row>
    <row r="63" spans="1:41" x14ac:dyDescent="0.25">
      <c r="A63" s="53" t="s">
        <v>67</v>
      </c>
      <c r="B63" s="65">
        <v>4</v>
      </c>
      <c r="C63" s="65">
        <v>4</v>
      </c>
      <c r="D63" s="65">
        <v>4</v>
      </c>
      <c r="E63" s="65">
        <v>4</v>
      </c>
      <c r="F63" s="65">
        <v>4</v>
      </c>
      <c r="G63" s="65">
        <v>4</v>
      </c>
      <c r="H63" s="65">
        <v>4</v>
      </c>
      <c r="I63" s="65">
        <v>4</v>
      </c>
      <c r="J63" s="65">
        <v>4</v>
      </c>
      <c r="K63" s="65">
        <v>4</v>
      </c>
      <c r="L63" s="65">
        <v>4</v>
      </c>
      <c r="M63" s="65">
        <v>4</v>
      </c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54">
        <v>10.050000000000001</v>
      </c>
      <c r="AH63" s="47">
        <f t="shared" si="2"/>
        <v>4</v>
      </c>
      <c r="AI63" s="48">
        <f t="shared" si="3"/>
        <v>4</v>
      </c>
      <c r="AK63" s="49"/>
    </row>
    <row r="64" spans="1:41" x14ac:dyDescent="0.25">
      <c r="A64" s="53" t="s">
        <v>68</v>
      </c>
      <c r="B64" s="65">
        <v>1.6</v>
      </c>
      <c r="C64" s="65">
        <v>1.6</v>
      </c>
      <c r="D64" s="65">
        <v>1.6</v>
      </c>
      <c r="E64" s="65">
        <v>1.6</v>
      </c>
      <c r="F64" s="65">
        <v>1.6</v>
      </c>
      <c r="G64" s="65">
        <v>1.6</v>
      </c>
      <c r="H64" s="65">
        <v>1.6</v>
      </c>
      <c r="I64" s="65">
        <v>1.6</v>
      </c>
      <c r="J64" s="65">
        <v>1.6</v>
      </c>
      <c r="K64" s="65">
        <v>1.6</v>
      </c>
      <c r="L64" s="65">
        <v>1.6</v>
      </c>
      <c r="M64" s="65">
        <v>1.6</v>
      </c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4">
        <v>6.2</v>
      </c>
      <c r="AH64" s="47">
        <f t="shared" si="2"/>
        <v>1.6</v>
      </c>
      <c r="AI64" s="48">
        <f t="shared" si="3"/>
        <v>1.6</v>
      </c>
      <c r="AK64" s="49"/>
    </row>
    <row r="65" spans="1:40" ht="15.75" thickBot="1" x14ac:dyDescent="0.3">
      <c r="A65" s="55" t="s">
        <v>69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70</v>
      </c>
      <c r="B66" s="60">
        <f t="shared" ref="B66:AG66" si="6">SUM(B53:B65)</f>
        <v>103.44000000000001</v>
      </c>
      <c r="C66" s="60">
        <f t="shared" si="6"/>
        <v>103.44000000000001</v>
      </c>
      <c r="D66" s="60">
        <f t="shared" si="6"/>
        <v>103.44000000000001</v>
      </c>
      <c r="E66" s="60">
        <f t="shared" si="6"/>
        <v>74.94</v>
      </c>
      <c r="F66" s="60">
        <f t="shared" si="6"/>
        <v>72.839999999999989</v>
      </c>
      <c r="G66" s="60">
        <f t="shared" si="6"/>
        <v>85.84</v>
      </c>
      <c r="H66" s="60">
        <f t="shared" si="6"/>
        <v>142.33999999999997</v>
      </c>
      <c r="I66" s="60">
        <f t="shared" si="6"/>
        <v>155.85</v>
      </c>
      <c r="J66" s="60">
        <f t="shared" si="6"/>
        <v>220.14999999999998</v>
      </c>
      <c r="K66" s="60">
        <f t="shared" si="6"/>
        <v>241.54999999999998</v>
      </c>
      <c r="L66" s="60">
        <f t="shared" si="6"/>
        <v>229.74</v>
      </c>
      <c r="M66" s="60">
        <f t="shared" si="6"/>
        <v>228.94</v>
      </c>
      <c r="N66" s="60">
        <f t="shared" si="6"/>
        <v>3.54</v>
      </c>
      <c r="O66" s="60">
        <f t="shared" si="6"/>
        <v>3.54</v>
      </c>
      <c r="P66" s="60">
        <f t="shared" si="6"/>
        <v>3.54</v>
      </c>
      <c r="Q66" s="60">
        <f t="shared" si="6"/>
        <v>3.54</v>
      </c>
      <c r="R66" s="60">
        <f t="shared" si="6"/>
        <v>3.54</v>
      </c>
      <c r="S66" s="60">
        <f t="shared" si="6"/>
        <v>3.54</v>
      </c>
      <c r="T66" s="60">
        <f t="shared" si="6"/>
        <v>3.54</v>
      </c>
      <c r="U66" s="60">
        <f t="shared" si="6"/>
        <v>3.54</v>
      </c>
      <c r="V66" s="60">
        <f t="shared" si="6"/>
        <v>3.54</v>
      </c>
      <c r="W66" s="60">
        <f t="shared" si="6"/>
        <v>3.54</v>
      </c>
      <c r="X66" s="60">
        <f t="shared" si="6"/>
        <v>3.54</v>
      </c>
      <c r="Y66" s="60">
        <f t="shared" si="6"/>
        <v>3.54</v>
      </c>
      <c r="Z66" s="60">
        <f t="shared" si="6"/>
        <v>3.54</v>
      </c>
      <c r="AA66" s="60">
        <f t="shared" si="6"/>
        <v>3.54</v>
      </c>
      <c r="AB66" s="60">
        <f t="shared" si="6"/>
        <v>3.54</v>
      </c>
      <c r="AC66" s="60">
        <f t="shared" si="6"/>
        <v>3.54</v>
      </c>
      <c r="AD66" s="60">
        <f t="shared" si="6"/>
        <v>3.54</v>
      </c>
      <c r="AE66" s="60">
        <f t="shared" si="6"/>
        <v>3.54</v>
      </c>
      <c r="AF66" s="60">
        <f t="shared" si="6"/>
        <v>3.54</v>
      </c>
      <c r="AG66" s="61">
        <f t="shared" si="6"/>
        <v>489.91</v>
      </c>
      <c r="AH66" s="47">
        <f t="shared" si="2"/>
        <v>241.54999999999998</v>
      </c>
      <c r="AI66" s="48">
        <f t="shared" si="3"/>
        <v>3.54</v>
      </c>
      <c r="AK66" s="49"/>
    </row>
    <row r="67" spans="1:40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1">
        <v>60</v>
      </c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/>
      <c r="O68" s="65"/>
      <c r="P68" s="65"/>
      <c r="Q68" s="45"/>
      <c r="R68" s="4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45"/>
      <c r="AG68" s="54">
        <v>32</v>
      </c>
      <c r="AH68" s="47">
        <f t="shared" si="2"/>
        <v>0</v>
      </c>
      <c r="AI68" s="48">
        <f t="shared" si="3"/>
        <v>0</v>
      </c>
      <c r="AK68" s="49"/>
    </row>
    <row r="69" spans="1:40" ht="15.75" thickBot="1" x14ac:dyDescent="0.3">
      <c r="A69" s="71" t="s">
        <v>73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/>
      <c r="O69" s="67"/>
      <c r="P69" s="67"/>
      <c r="Q69" s="45"/>
      <c r="R69" s="45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45"/>
      <c r="AG69" s="68">
        <v>14</v>
      </c>
      <c r="AH69" s="47">
        <f t="shared" si="2"/>
        <v>0</v>
      </c>
      <c r="AI69" s="48">
        <f t="shared" si="3"/>
        <v>0</v>
      </c>
      <c r="AK69" s="49"/>
    </row>
    <row r="70" spans="1:40" ht="15.75" thickBot="1" x14ac:dyDescent="0.3">
      <c r="A70" s="74" t="s">
        <v>74</v>
      </c>
      <c r="B70" s="60">
        <f t="shared" ref="B70" si="7"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8">M67+M68+M69</f>
        <v>0</v>
      </c>
      <c r="N70" s="60">
        <f t="shared" si="8"/>
        <v>0</v>
      </c>
      <c r="O70" s="60">
        <f t="shared" si="8"/>
        <v>0</v>
      </c>
      <c r="P70" s="60">
        <f t="shared" si="8"/>
        <v>0</v>
      </c>
      <c r="Q70" s="60">
        <f t="shared" si="8"/>
        <v>0</v>
      </c>
      <c r="R70" s="60">
        <f t="shared" si="8"/>
        <v>0</v>
      </c>
      <c r="S70" s="60">
        <f t="shared" si="8"/>
        <v>0</v>
      </c>
      <c r="T70" s="60">
        <f t="shared" si="8"/>
        <v>0</v>
      </c>
      <c r="U70" s="60">
        <f t="shared" si="8"/>
        <v>0</v>
      </c>
      <c r="V70" s="60">
        <f t="shared" si="8"/>
        <v>0</v>
      </c>
      <c r="W70" s="60">
        <f t="shared" si="8"/>
        <v>0</v>
      </c>
      <c r="X70" s="60">
        <f t="shared" si="8"/>
        <v>0</v>
      </c>
      <c r="Y70" s="60">
        <f t="shared" si="8"/>
        <v>0</v>
      </c>
      <c r="Z70" s="60">
        <f t="shared" si="8"/>
        <v>0</v>
      </c>
      <c r="AA70" s="60">
        <f t="shared" si="8"/>
        <v>0</v>
      </c>
      <c r="AB70" s="60">
        <f t="shared" si="8"/>
        <v>0</v>
      </c>
      <c r="AC70" s="60">
        <f t="shared" si="8"/>
        <v>0</v>
      </c>
      <c r="AD70" s="60">
        <f t="shared" si="8"/>
        <v>0</v>
      </c>
      <c r="AE70" s="60">
        <f t="shared" si="8"/>
        <v>0</v>
      </c>
      <c r="AF70" s="60">
        <f t="shared" si="8"/>
        <v>0</v>
      </c>
      <c r="AG70" s="61">
        <f>SUM(AG67:AG69)</f>
        <v>106</v>
      </c>
      <c r="AH70" s="47">
        <f t="shared" si="2"/>
        <v>0</v>
      </c>
      <c r="AI70" s="48">
        <f t="shared" si="3"/>
        <v>0</v>
      </c>
      <c r="AK70" s="49"/>
    </row>
    <row r="71" spans="1:40" x14ac:dyDescent="0.25">
      <c r="A71" s="44" t="s">
        <v>75</v>
      </c>
      <c r="B71" s="45">
        <v>56</v>
      </c>
      <c r="C71" s="45">
        <v>50</v>
      </c>
      <c r="D71" s="45">
        <v>56</v>
      </c>
      <c r="E71" s="45">
        <v>62</v>
      </c>
      <c r="F71" s="45">
        <v>65</v>
      </c>
      <c r="G71" s="45">
        <v>69.099999999999994</v>
      </c>
      <c r="H71" s="45">
        <v>66</v>
      </c>
      <c r="I71" s="45">
        <v>60</v>
      </c>
      <c r="J71" s="45">
        <v>66</v>
      </c>
      <c r="K71" s="45">
        <v>65</v>
      </c>
      <c r="L71" s="45">
        <v>59</v>
      </c>
      <c r="M71" s="45">
        <v>65</v>
      </c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51"/>
      <c r="AH71" s="47">
        <f t="shared" si="2"/>
        <v>69.099999999999994</v>
      </c>
      <c r="AI71" s="48">
        <f t="shared" si="3"/>
        <v>50</v>
      </c>
      <c r="AK71" s="49"/>
    </row>
    <row r="72" spans="1:40" x14ac:dyDescent="0.25">
      <c r="A72" s="53" t="s">
        <v>76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77</v>
      </c>
      <c r="B73" s="65">
        <v>324</v>
      </c>
      <c r="C73" s="65">
        <v>329</v>
      </c>
      <c r="D73" s="65">
        <v>371</v>
      </c>
      <c r="E73" s="65">
        <v>368</v>
      </c>
      <c r="F73" s="65">
        <v>354</v>
      </c>
      <c r="G73" s="65">
        <v>352</v>
      </c>
      <c r="H73" s="65">
        <v>350</v>
      </c>
      <c r="I73" s="65">
        <v>339</v>
      </c>
      <c r="J73" s="65">
        <v>300</v>
      </c>
      <c r="K73" s="65">
        <v>286</v>
      </c>
      <c r="L73" s="65">
        <v>287</v>
      </c>
      <c r="M73" s="65">
        <v>332</v>
      </c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75"/>
      <c r="AH73" s="47">
        <f t="shared" si="2"/>
        <v>371</v>
      </c>
      <c r="AI73" s="48">
        <f t="shared" si="3"/>
        <v>286</v>
      </c>
      <c r="AK73" s="49"/>
    </row>
    <row r="74" spans="1:40" x14ac:dyDescent="0.25">
      <c r="A74" s="53" t="s">
        <v>78</v>
      </c>
      <c r="B74" s="65">
        <v>64</v>
      </c>
      <c r="C74" s="65">
        <v>59</v>
      </c>
      <c r="D74" s="65">
        <v>62</v>
      </c>
      <c r="E74" s="76">
        <v>60.4</v>
      </c>
      <c r="F74" s="76">
        <v>21.4</v>
      </c>
      <c r="G74" s="76">
        <v>51.6</v>
      </c>
      <c r="H74" s="76">
        <v>62.5</v>
      </c>
      <c r="I74" s="76">
        <v>66</v>
      </c>
      <c r="J74" s="76">
        <v>65</v>
      </c>
      <c r="K74" s="76">
        <v>67</v>
      </c>
      <c r="L74" s="76">
        <v>69.3</v>
      </c>
      <c r="M74" s="76">
        <v>68.2</v>
      </c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65"/>
      <c r="Y74" s="65"/>
      <c r="Z74" s="65"/>
      <c r="AA74" s="65"/>
      <c r="AB74" s="65"/>
      <c r="AC74" s="65"/>
      <c r="AD74" s="65"/>
      <c r="AE74" s="65"/>
      <c r="AF74" s="65"/>
      <c r="AG74" s="75"/>
      <c r="AH74" s="47">
        <f t="shared" si="2"/>
        <v>69.3</v>
      </c>
      <c r="AI74" s="48">
        <f t="shared" si="3"/>
        <v>21.4</v>
      </c>
      <c r="AK74" s="49"/>
    </row>
    <row r="75" spans="1:40" x14ac:dyDescent="0.25">
      <c r="A75" s="53" t="s">
        <v>79</v>
      </c>
      <c r="B75" s="45">
        <v>90</v>
      </c>
      <c r="C75" s="45">
        <v>82</v>
      </c>
      <c r="D75" s="45">
        <v>21</v>
      </c>
      <c r="E75" s="45">
        <v>24</v>
      </c>
      <c r="F75" s="45">
        <v>81</v>
      </c>
      <c r="G75" s="45">
        <v>80.7</v>
      </c>
      <c r="H75" s="45">
        <v>79.5</v>
      </c>
      <c r="I75" s="45">
        <v>84.8</v>
      </c>
      <c r="J75" s="45">
        <v>77.400000000000006</v>
      </c>
      <c r="K75" s="45">
        <v>49.1</v>
      </c>
      <c r="L75" s="45">
        <v>53.4</v>
      </c>
      <c r="M75" s="45">
        <v>61.2</v>
      </c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75"/>
      <c r="AH75" s="47">
        <f t="shared" ref="AH75:AH117" si="9">MAX(B75:AF75)</f>
        <v>90</v>
      </c>
      <c r="AI75" s="48">
        <f t="shared" ref="AI75:AI117" si="10">MIN(B75:AF75)</f>
        <v>21</v>
      </c>
      <c r="AK75" s="49"/>
    </row>
    <row r="76" spans="1:40" x14ac:dyDescent="0.25">
      <c r="A76" s="53" t="s">
        <v>80</v>
      </c>
      <c r="B76" s="77">
        <v>5</v>
      </c>
      <c r="C76" s="77">
        <v>5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/>
      <c r="AH76" s="47">
        <f t="shared" si="9"/>
        <v>5</v>
      </c>
      <c r="AI76" s="48">
        <f t="shared" si="10"/>
        <v>0</v>
      </c>
      <c r="AK76" s="49"/>
    </row>
    <row r="77" spans="1:40" ht="15.75" thickBot="1" x14ac:dyDescent="0.3">
      <c r="A77" s="53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5"/>
      <c r="AH77" s="47">
        <f t="shared" si="9"/>
        <v>0</v>
      </c>
      <c r="AI77" s="48">
        <f t="shared" si="10"/>
        <v>0</v>
      </c>
      <c r="AK77" s="49"/>
      <c r="AL77" s="78" t="s">
        <v>82</v>
      </c>
      <c r="AM77" s="78"/>
    </row>
    <row r="78" spans="1:40" x14ac:dyDescent="0.25">
      <c r="A78" s="53" t="s">
        <v>83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9"/>
        <v>0</v>
      </c>
      <c r="AI78" s="48">
        <f t="shared" si="10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9"/>
        <v>0</v>
      </c>
      <c r="AI79" s="48">
        <f t="shared" si="10"/>
        <v>0</v>
      </c>
      <c r="AK79" s="82" t="s">
        <v>85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86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85"/>
      <c r="AH80" s="47">
        <f t="shared" si="9"/>
        <v>0</v>
      </c>
      <c r="AI80" s="48">
        <f t="shared" si="10"/>
        <v>0</v>
      </c>
      <c r="AK80" s="82" t="s">
        <v>87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85"/>
      <c r="AH81" s="47">
        <f t="shared" si="9"/>
        <v>0</v>
      </c>
      <c r="AI81" s="48">
        <f t="shared" si="10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89</v>
      </c>
      <c r="B82" s="60">
        <f t="shared" ref="B82:AF82" si="11">SUMIF(B71:B81,"&gt;0")</f>
        <v>539</v>
      </c>
      <c r="C82" s="60">
        <f t="shared" si="11"/>
        <v>525</v>
      </c>
      <c r="D82" s="60">
        <f t="shared" si="11"/>
        <v>510</v>
      </c>
      <c r="E82" s="60">
        <f t="shared" si="11"/>
        <v>514.4</v>
      </c>
      <c r="F82" s="60">
        <f t="shared" si="11"/>
        <v>521.4</v>
      </c>
      <c r="G82" s="60">
        <f t="shared" si="11"/>
        <v>553.40000000000009</v>
      </c>
      <c r="H82" s="60">
        <f t="shared" si="11"/>
        <v>558</v>
      </c>
      <c r="I82" s="60">
        <f t="shared" si="11"/>
        <v>549.79999999999995</v>
      </c>
      <c r="J82" s="60">
        <f t="shared" si="11"/>
        <v>508.4</v>
      </c>
      <c r="K82" s="60">
        <f t="shared" si="11"/>
        <v>467.1</v>
      </c>
      <c r="L82" s="60">
        <f t="shared" si="11"/>
        <v>468.7</v>
      </c>
      <c r="M82" s="60">
        <f t="shared" si="11"/>
        <v>526.4</v>
      </c>
      <c r="N82" s="60">
        <f t="shared" si="11"/>
        <v>0</v>
      </c>
      <c r="O82" s="60">
        <f t="shared" si="11"/>
        <v>0</v>
      </c>
      <c r="P82" s="60">
        <f t="shared" si="11"/>
        <v>0</v>
      </c>
      <c r="Q82" s="60">
        <f t="shared" si="11"/>
        <v>0</v>
      </c>
      <c r="R82" s="60">
        <f t="shared" si="11"/>
        <v>0</v>
      </c>
      <c r="S82" s="60">
        <f t="shared" si="11"/>
        <v>0</v>
      </c>
      <c r="T82" s="60">
        <f t="shared" si="11"/>
        <v>0</v>
      </c>
      <c r="U82" s="60">
        <f t="shared" si="11"/>
        <v>0</v>
      </c>
      <c r="V82" s="60">
        <f t="shared" si="11"/>
        <v>0</v>
      </c>
      <c r="W82" s="60">
        <f t="shared" si="11"/>
        <v>0</v>
      </c>
      <c r="X82" s="60">
        <f t="shared" si="11"/>
        <v>0</v>
      </c>
      <c r="Y82" s="60">
        <f t="shared" si="11"/>
        <v>0</v>
      </c>
      <c r="Z82" s="60">
        <f t="shared" si="11"/>
        <v>0</v>
      </c>
      <c r="AA82" s="60">
        <f t="shared" si="11"/>
        <v>0</v>
      </c>
      <c r="AB82" s="60">
        <f t="shared" si="11"/>
        <v>0</v>
      </c>
      <c r="AC82" s="60">
        <f t="shared" si="11"/>
        <v>0</v>
      </c>
      <c r="AD82" s="60">
        <f t="shared" si="11"/>
        <v>0</v>
      </c>
      <c r="AE82" s="60">
        <f t="shared" si="11"/>
        <v>0</v>
      </c>
      <c r="AF82" s="60">
        <f t="shared" si="11"/>
        <v>0</v>
      </c>
      <c r="AG82" s="88">
        <f>SUM(AG71:AG81)</f>
        <v>0</v>
      </c>
      <c r="AH82" s="47">
        <f t="shared" si="9"/>
        <v>558</v>
      </c>
      <c r="AI82" s="48">
        <f t="shared" si="10"/>
        <v>0</v>
      </c>
      <c r="AK82" s="86"/>
      <c r="AL82" s="77"/>
      <c r="AM82" s="89"/>
      <c r="AN82" s="193">
        <f>448.2/4</f>
        <v>112.05</v>
      </c>
    </row>
    <row r="83" spans="1:40" x14ac:dyDescent="0.25">
      <c r="A83" s="44" t="s">
        <v>90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9"/>
        <v>0</v>
      </c>
      <c r="AI83" s="48">
        <f t="shared" si="10"/>
        <v>0</v>
      </c>
      <c r="AK83" s="86"/>
      <c r="AL83" s="77"/>
      <c r="AM83" s="77"/>
      <c r="AN83" s="194"/>
    </row>
    <row r="84" spans="1:40" ht="15.75" thickBot="1" x14ac:dyDescent="0.3">
      <c r="A84" s="53" t="s">
        <v>91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9"/>
        <v>0</v>
      </c>
      <c r="AI84" s="48">
        <f t="shared" si="10"/>
        <v>0</v>
      </c>
      <c r="AK84" s="91"/>
      <c r="AL84" s="92"/>
      <c r="AM84" s="92"/>
      <c r="AN84" s="93"/>
    </row>
    <row r="85" spans="1:40" ht="15.75" thickBot="1" x14ac:dyDescent="0.3">
      <c r="A85" s="84" t="s">
        <v>92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9"/>
        <v>0</v>
      </c>
      <c r="AI85" s="48">
        <f t="shared" si="10"/>
        <v>0</v>
      </c>
    </row>
    <row r="86" spans="1:40" ht="15.75" thickBot="1" x14ac:dyDescent="0.3">
      <c r="A86" s="74" t="s">
        <v>93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9"/>
        <v>0</v>
      </c>
      <c r="AI86" s="48">
        <f t="shared" si="10"/>
        <v>0</v>
      </c>
    </row>
    <row r="87" spans="1:40" ht="15.75" thickBot="1" x14ac:dyDescent="0.3">
      <c r="A87" s="74" t="s">
        <v>94</v>
      </c>
      <c r="B87" s="95">
        <f t="shared" ref="B87:AG87" si="12">B48+B52+B70+B66+B82+B86</f>
        <v>1018.64</v>
      </c>
      <c r="C87" s="95">
        <f t="shared" si="12"/>
        <v>1004.64</v>
      </c>
      <c r="D87" s="95">
        <f t="shared" si="12"/>
        <v>989.64</v>
      </c>
      <c r="E87" s="95">
        <f t="shared" si="12"/>
        <v>965.54</v>
      </c>
      <c r="F87" s="95">
        <f t="shared" si="12"/>
        <v>971.23900000000003</v>
      </c>
      <c r="G87" s="95">
        <f t="shared" si="12"/>
        <v>1016.2390000000001</v>
      </c>
      <c r="H87" s="95">
        <f t="shared" si="12"/>
        <v>1107.3389999999999</v>
      </c>
      <c r="I87" s="95">
        <f t="shared" si="12"/>
        <v>1162.6489999999999</v>
      </c>
      <c r="J87" s="95">
        <f t="shared" si="12"/>
        <v>1256.049</v>
      </c>
      <c r="K87" s="95">
        <f t="shared" si="12"/>
        <v>1246.1489999999999</v>
      </c>
      <c r="L87" s="95">
        <f t="shared" si="12"/>
        <v>1239.6400000000001</v>
      </c>
      <c r="M87" s="95">
        <f t="shared" si="12"/>
        <v>1256.6399999999999</v>
      </c>
      <c r="N87" s="95">
        <f t="shared" si="12"/>
        <v>3.54</v>
      </c>
      <c r="O87" s="95">
        <f t="shared" si="12"/>
        <v>3.54</v>
      </c>
      <c r="P87" s="95">
        <f t="shared" si="12"/>
        <v>3.54</v>
      </c>
      <c r="Q87" s="95">
        <f t="shared" si="12"/>
        <v>3.54</v>
      </c>
      <c r="R87" s="95">
        <f t="shared" si="12"/>
        <v>3.54</v>
      </c>
      <c r="S87" s="95">
        <f t="shared" si="12"/>
        <v>3.54</v>
      </c>
      <c r="T87" s="95">
        <f t="shared" si="12"/>
        <v>3.54</v>
      </c>
      <c r="U87" s="95">
        <f t="shared" si="12"/>
        <v>3.54</v>
      </c>
      <c r="V87" s="95">
        <f t="shared" si="12"/>
        <v>3.54</v>
      </c>
      <c r="W87" s="95">
        <f t="shared" si="12"/>
        <v>3.54</v>
      </c>
      <c r="X87" s="95">
        <f t="shared" si="12"/>
        <v>3.54</v>
      </c>
      <c r="Y87" s="95">
        <f t="shared" si="12"/>
        <v>3.54</v>
      </c>
      <c r="Z87" s="95">
        <f t="shared" si="12"/>
        <v>3.54</v>
      </c>
      <c r="AA87" s="95">
        <f t="shared" si="12"/>
        <v>3.54</v>
      </c>
      <c r="AB87" s="95">
        <f t="shared" si="12"/>
        <v>3.54</v>
      </c>
      <c r="AC87" s="95">
        <f t="shared" si="12"/>
        <v>3.54</v>
      </c>
      <c r="AD87" s="95">
        <f t="shared" si="12"/>
        <v>3.54</v>
      </c>
      <c r="AE87" s="95">
        <f t="shared" si="12"/>
        <v>3.54</v>
      </c>
      <c r="AF87" s="95">
        <f t="shared" si="12"/>
        <v>3.54</v>
      </c>
      <c r="AG87" s="61">
        <f t="shared" si="12"/>
        <v>2065.09</v>
      </c>
      <c r="AH87" s="47">
        <f>MAX(B87:AF87)</f>
        <v>1256.6399999999999</v>
      </c>
      <c r="AI87" s="48">
        <f>MIN(B87:AF87)</f>
        <v>3.54</v>
      </c>
    </row>
    <row r="88" spans="1:40" ht="15.75" thickBot="1" x14ac:dyDescent="0.3">
      <c r="A88" s="96" t="s">
        <v>95</v>
      </c>
      <c r="B88" s="97"/>
      <c r="C88" s="97"/>
      <c r="D88" s="97"/>
      <c r="E88" s="97"/>
      <c r="F88" s="97"/>
      <c r="G88" s="97"/>
      <c r="H88" s="97"/>
      <c r="I88" s="97"/>
      <c r="J88" s="97"/>
      <c r="K88" s="97">
        <v>150</v>
      </c>
      <c r="L88" s="97">
        <v>150</v>
      </c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9"/>
        <v>150</v>
      </c>
      <c r="AI88" s="48">
        <f t="shared" si="10"/>
        <v>150</v>
      </c>
    </row>
    <row r="89" spans="1:40" ht="15.75" thickBot="1" x14ac:dyDescent="0.3">
      <c r="A89" s="74" t="s">
        <v>96</v>
      </c>
      <c r="B89" s="95">
        <f t="shared" ref="B89:AF89" si="13">B87+B88</f>
        <v>1018.64</v>
      </c>
      <c r="C89" s="95">
        <f t="shared" si="13"/>
        <v>1004.64</v>
      </c>
      <c r="D89" s="95">
        <f t="shared" si="13"/>
        <v>989.64</v>
      </c>
      <c r="E89" s="95">
        <f t="shared" si="13"/>
        <v>965.54</v>
      </c>
      <c r="F89" s="95">
        <f t="shared" si="13"/>
        <v>971.23900000000003</v>
      </c>
      <c r="G89" s="95">
        <f t="shared" si="13"/>
        <v>1016.2390000000001</v>
      </c>
      <c r="H89" s="95">
        <f t="shared" si="13"/>
        <v>1107.3389999999999</v>
      </c>
      <c r="I89" s="95">
        <f t="shared" si="13"/>
        <v>1162.6489999999999</v>
      </c>
      <c r="J89" s="95">
        <f t="shared" si="13"/>
        <v>1256.049</v>
      </c>
      <c r="K89" s="95">
        <f t="shared" si="13"/>
        <v>1396.1489999999999</v>
      </c>
      <c r="L89" s="95">
        <f t="shared" si="13"/>
        <v>1389.64</v>
      </c>
      <c r="M89" s="95">
        <f t="shared" si="13"/>
        <v>1256.6399999999999</v>
      </c>
      <c r="N89" s="95">
        <f t="shared" si="13"/>
        <v>3.54</v>
      </c>
      <c r="O89" s="95">
        <f t="shared" si="13"/>
        <v>3.54</v>
      </c>
      <c r="P89" s="95">
        <f t="shared" si="13"/>
        <v>3.54</v>
      </c>
      <c r="Q89" s="95">
        <f t="shared" si="13"/>
        <v>3.54</v>
      </c>
      <c r="R89" s="95">
        <f t="shared" si="13"/>
        <v>3.54</v>
      </c>
      <c r="S89" s="95">
        <f t="shared" si="13"/>
        <v>3.54</v>
      </c>
      <c r="T89" s="95">
        <f t="shared" si="13"/>
        <v>3.54</v>
      </c>
      <c r="U89" s="95">
        <f t="shared" si="13"/>
        <v>3.54</v>
      </c>
      <c r="V89" s="95">
        <f t="shared" si="13"/>
        <v>3.54</v>
      </c>
      <c r="W89" s="95">
        <f t="shared" si="13"/>
        <v>3.54</v>
      </c>
      <c r="X89" s="95">
        <f t="shared" si="13"/>
        <v>3.54</v>
      </c>
      <c r="Y89" s="95">
        <f t="shared" si="13"/>
        <v>3.54</v>
      </c>
      <c r="Z89" s="95">
        <f t="shared" si="13"/>
        <v>3.54</v>
      </c>
      <c r="AA89" s="95">
        <f t="shared" si="13"/>
        <v>3.54</v>
      </c>
      <c r="AB89" s="95">
        <f t="shared" si="13"/>
        <v>3.54</v>
      </c>
      <c r="AC89" s="95">
        <f t="shared" si="13"/>
        <v>3.54</v>
      </c>
      <c r="AD89" s="95">
        <f t="shared" si="13"/>
        <v>3.54</v>
      </c>
      <c r="AE89" s="95">
        <f t="shared" si="13"/>
        <v>3.54</v>
      </c>
      <c r="AF89" s="95">
        <f t="shared" si="13"/>
        <v>3.54</v>
      </c>
      <c r="AG89" s="88">
        <f>AG86+AG82+AG70+AG66+AG48+AG88</f>
        <v>1526.99</v>
      </c>
      <c r="AH89" s="47">
        <f t="shared" si="9"/>
        <v>1396.1489999999999</v>
      </c>
      <c r="AI89" s="48">
        <f t="shared" si="10"/>
        <v>3.54</v>
      </c>
    </row>
    <row r="90" spans="1:40" ht="15.75" thickBot="1" x14ac:dyDescent="0.3">
      <c r="A90" s="74" t="s">
        <v>97</v>
      </c>
      <c r="B90" s="95">
        <f t="shared" ref="B90:AF90" si="14">B89-B97</f>
        <v>1018.64</v>
      </c>
      <c r="C90" s="95">
        <f t="shared" si="14"/>
        <v>1004.64</v>
      </c>
      <c r="D90" s="95">
        <f t="shared" si="14"/>
        <v>989.64</v>
      </c>
      <c r="E90" s="95">
        <f t="shared" si="14"/>
        <v>965.54</v>
      </c>
      <c r="F90" s="95">
        <f t="shared" si="14"/>
        <v>971.23900000000003</v>
      </c>
      <c r="G90" s="95">
        <f t="shared" si="14"/>
        <v>1016.2390000000001</v>
      </c>
      <c r="H90" s="95">
        <f t="shared" si="14"/>
        <v>1107.3389999999999</v>
      </c>
      <c r="I90" s="95">
        <f t="shared" si="14"/>
        <v>1162.6489999999999</v>
      </c>
      <c r="J90" s="95">
        <f t="shared" si="14"/>
        <v>1256.049</v>
      </c>
      <c r="K90" s="95">
        <f t="shared" si="14"/>
        <v>1396.1489999999999</v>
      </c>
      <c r="L90" s="95">
        <f t="shared" si="14"/>
        <v>1389.64</v>
      </c>
      <c r="M90" s="95">
        <f t="shared" si="14"/>
        <v>1256.6399999999999</v>
      </c>
      <c r="N90" s="95">
        <f t="shared" si="14"/>
        <v>3.54</v>
      </c>
      <c r="O90" s="95">
        <f t="shared" si="14"/>
        <v>3.54</v>
      </c>
      <c r="P90" s="95">
        <f t="shared" si="14"/>
        <v>3.54</v>
      </c>
      <c r="Q90" s="95">
        <f t="shared" si="14"/>
        <v>3.54</v>
      </c>
      <c r="R90" s="95">
        <f t="shared" si="14"/>
        <v>3.54</v>
      </c>
      <c r="S90" s="95">
        <f t="shared" si="14"/>
        <v>3.54</v>
      </c>
      <c r="T90" s="95">
        <f t="shared" si="14"/>
        <v>3.54</v>
      </c>
      <c r="U90" s="95">
        <f t="shared" si="14"/>
        <v>3.54</v>
      </c>
      <c r="V90" s="95">
        <f t="shared" si="14"/>
        <v>3.54</v>
      </c>
      <c r="W90" s="95">
        <f t="shared" si="14"/>
        <v>3.54</v>
      </c>
      <c r="X90" s="95">
        <f t="shared" si="14"/>
        <v>3.54</v>
      </c>
      <c r="Y90" s="95">
        <f t="shared" si="14"/>
        <v>3.54</v>
      </c>
      <c r="Z90" s="95">
        <f t="shared" si="14"/>
        <v>3.54</v>
      </c>
      <c r="AA90" s="95">
        <f t="shared" si="14"/>
        <v>3.54</v>
      </c>
      <c r="AB90" s="95">
        <f t="shared" si="14"/>
        <v>3.54</v>
      </c>
      <c r="AC90" s="95">
        <f t="shared" si="14"/>
        <v>3.54</v>
      </c>
      <c r="AD90" s="95">
        <f t="shared" si="14"/>
        <v>3.54</v>
      </c>
      <c r="AE90" s="95">
        <f t="shared" si="14"/>
        <v>3.54</v>
      </c>
      <c r="AF90" s="95">
        <f t="shared" si="14"/>
        <v>3.54</v>
      </c>
      <c r="AG90" s="88"/>
      <c r="AH90" s="47">
        <f t="shared" si="9"/>
        <v>1396.1489999999999</v>
      </c>
      <c r="AI90" s="48">
        <f t="shared" si="10"/>
        <v>3.54</v>
      </c>
    </row>
    <row r="91" spans="1:40" x14ac:dyDescent="0.25">
      <c r="A91" s="44" t="s">
        <v>78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9"/>
        <v>0</v>
      </c>
      <c r="AI91" s="48">
        <f t="shared" si="10"/>
        <v>0</v>
      </c>
    </row>
    <row r="92" spans="1:40" x14ac:dyDescent="0.25">
      <c r="A92" s="53" t="s">
        <v>76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9"/>
        <v>0</v>
      </c>
      <c r="AI92" s="48">
        <f t="shared" si="10"/>
        <v>0</v>
      </c>
    </row>
    <row r="93" spans="1:40" x14ac:dyDescent="0.25">
      <c r="A93" s="84" t="s">
        <v>98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9"/>
        <v>0</v>
      </c>
      <c r="AI93" s="48">
        <f t="shared" si="10"/>
        <v>0</v>
      </c>
    </row>
    <row r="94" spans="1:40" x14ac:dyDescent="0.25">
      <c r="A94" s="84" t="s">
        <v>99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75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ht="15.75" thickBot="1" x14ac:dyDescent="0.3">
      <c r="A96" s="84" t="s">
        <v>100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9"/>
        <v>0</v>
      </c>
      <c r="AI96" s="48">
        <f t="shared" si="10"/>
        <v>0</v>
      </c>
    </row>
    <row r="97" spans="1:37" ht="15.75" thickBot="1" x14ac:dyDescent="0.3">
      <c r="A97" s="99" t="s">
        <v>101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9"/>
        <v>0</v>
      </c>
      <c r="AI97" s="48">
        <f t="shared" si="10"/>
        <v>0</v>
      </c>
      <c r="AK97" s="49"/>
    </row>
    <row r="98" spans="1:37" ht="15.75" thickBot="1" x14ac:dyDescent="0.3">
      <c r="A98" s="74" t="s">
        <v>102</v>
      </c>
      <c r="B98" s="60">
        <f t="shared" ref="B98:AF98" si="15">B82-B97</f>
        <v>539</v>
      </c>
      <c r="C98" s="60">
        <f t="shared" si="15"/>
        <v>525</v>
      </c>
      <c r="D98" s="60">
        <f t="shared" si="15"/>
        <v>510</v>
      </c>
      <c r="E98" s="60">
        <f t="shared" si="15"/>
        <v>514.4</v>
      </c>
      <c r="F98" s="60">
        <f t="shared" si="15"/>
        <v>521.4</v>
      </c>
      <c r="G98" s="60">
        <f t="shared" si="15"/>
        <v>553.40000000000009</v>
      </c>
      <c r="H98" s="60">
        <f t="shared" si="15"/>
        <v>558</v>
      </c>
      <c r="I98" s="60">
        <f t="shared" si="15"/>
        <v>549.79999999999995</v>
      </c>
      <c r="J98" s="60">
        <f t="shared" si="15"/>
        <v>508.4</v>
      </c>
      <c r="K98" s="60">
        <f t="shared" si="15"/>
        <v>467.1</v>
      </c>
      <c r="L98" s="60">
        <f t="shared" si="15"/>
        <v>468.7</v>
      </c>
      <c r="M98" s="60">
        <f t="shared" si="15"/>
        <v>526.4</v>
      </c>
      <c r="N98" s="60">
        <f t="shared" si="15"/>
        <v>0</v>
      </c>
      <c r="O98" s="60">
        <f t="shared" si="15"/>
        <v>0</v>
      </c>
      <c r="P98" s="60">
        <f t="shared" si="15"/>
        <v>0</v>
      </c>
      <c r="Q98" s="60">
        <f t="shared" si="15"/>
        <v>0</v>
      </c>
      <c r="R98" s="60">
        <f t="shared" si="15"/>
        <v>0</v>
      </c>
      <c r="S98" s="60">
        <f t="shared" si="15"/>
        <v>0</v>
      </c>
      <c r="T98" s="60">
        <f t="shared" si="15"/>
        <v>0</v>
      </c>
      <c r="U98" s="60">
        <f t="shared" si="15"/>
        <v>0</v>
      </c>
      <c r="V98" s="60">
        <f t="shared" si="15"/>
        <v>0</v>
      </c>
      <c r="W98" s="60">
        <f t="shared" si="15"/>
        <v>0</v>
      </c>
      <c r="X98" s="60">
        <f t="shared" si="15"/>
        <v>0</v>
      </c>
      <c r="Y98" s="60">
        <f t="shared" si="15"/>
        <v>0</v>
      </c>
      <c r="Z98" s="60">
        <f t="shared" si="15"/>
        <v>0</v>
      </c>
      <c r="AA98" s="60">
        <f t="shared" si="15"/>
        <v>0</v>
      </c>
      <c r="AB98" s="60">
        <f t="shared" si="15"/>
        <v>0</v>
      </c>
      <c r="AC98" s="60">
        <f t="shared" si="15"/>
        <v>0</v>
      </c>
      <c r="AD98" s="60">
        <f t="shared" si="15"/>
        <v>0</v>
      </c>
      <c r="AE98" s="60">
        <f t="shared" si="15"/>
        <v>0</v>
      </c>
      <c r="AF98" s="60">
        <f t="shared" si="15"/>
        <v>0</v>
      </c>
      <c r="AG98" s="88"/>
      <c r="AH98" s="47">
        <f t="shared" si="9"/>
        <v>558</v>
      </c>
      <c r="AI98" s="48">
        <f t="shared" si="10"/>
        <v>0</v>
      </c>
    </row>
    <row r="99" spans="1:37" x14ac:dyDescent="0.25">
      <c r="A99" s="100" t="s">
        <v>103</v>
      </c>
      <c r="B99" s="101">
        <v>50.034999999999997</v>
      </c>
      <c r="C99" s="101">
        <v>49.99</v>
      </c>
      <c r="D99" s="101">
        <v>49.994999999999997</v>
      </c>
      <c r="E99" s="101">
        <v>49.957000000000001</v>
      </c>
      <c r="F99" s="101">
        <v>49.941000000000003</v>
      </c>
      <c r="G99" s="101">
        <v>49.96</v>
      </c>
      <c r="H99" s="101">
        <v>49.975999999999999</v>
      </c>
      <c r="I99" s="101">
        <v>50.027000000000001</v>
      </c>
      <c r="J99" s="101">
        <v>50.034999999999997</v>
      </c>
      <c r="K99" s="101">
        <v>49.957000000000001</v>
      </c>
      <c r="L99" s="101">
        <v>49.920999999999999</v>
      </c>
      <c r="M99" s="101">
        <v>50.067</v>
      </c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2"/>
      <c r="AH99" s="47">
        <f t="shared" si="9"/>
        <v>50.067</v>
      </c>
      <c r="AI99" s="48">
        <f t="shared" si="10"/>
        <v>49.920999999999999</v>
      </c>
    </row>
    <row r="100" spans="1:37" x14ac:dyDescent="0.25">
      <c r="A100" s="103" t="s">
        <v>104</v>
      </c>
      <c r="B100" s="65">
        <v>129.69999999999999</v>
      </c>
      <c r="C100" s="65">
        <v>130.30000000000001</v>
      </c>
      <c r="D100" s="65">
        <v>129</v>
      </c>
      <c r="E100" s="65">
        <v>127.8</v>
      </c>
      <c r="F100" s="65">
        <v>128.80000000000001</v>
      </c>
      <c r="G100" s="65">
        <v>128.69999999999999</v>
      </c>
      <c r="H100" s="65">
        <v>128.4</v>
      </c>
      <c r="I100" s="65">
        <v>126.9</v>
      </c>
      <c r="J100" s="65">
        <v>125.6</v>
      </c>
      <c r="K100" s="65">
        <v>126.8</v>
      </c>
      <c r="L100" s="65">
        <v>126.2</v>
      </c>
      <c r="M100" s="65">
        <v>126.4</v>
      </c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104"/>
      <c r="AH100" s="47">
        <f t="shared" si="9"/>
        <v>130.30000000000001</v>
      </c>
      <c r="AI100" s="48">
        <f t="shared" si="10"/>
        <v>125.6</v>
      </c>
    </row>
    <row r="101" spans="1:37" x14ac:dyDescent="0.25">
      <c r="A101" s="103" t="s">
        <v>105</v>
      </c>
      <c r="B101" s="65">
        <v>132.4</v>
      </c>
      <c r="C101" s="65">
        <v>133.30000000000001</v>
      </c>
      <c r="D101" s="65">
        <v>132.30000000000001</v>
      </c>
      <c r="E101" s="65">
        <v>131.6</v>
      </c>
      <c r="F101" s="65">
        <v>131.6</v>
      </c>
      <c r="G101" s="65">
        <v>131.69</v>
      </c>
      <c r="H101" s="65">
        <v>131.4</v>
      </c>
      <c r="I101" s="65">
        <v>130</v>
      </c>
      <c r="J101" s="65">
        <v>128.1</v>
      </c>
      <c r="K101" s="65">
        <v>128.80000000000001</v>
      </c>
      <c r="L101" s="65">
        <v>127.8</v>
      </c>
      <c r="M101" s="65">
        <v>128.4</v>
      </c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104"/>
      <c r="AH101" s="47">
        <f t="shared" si="9"/>
        <v>133.30000000000001</v>
      </c>
      <c r="AI101" s="48">
        <f t="shared" si="10"/>
        <v>127.8</v>
      </c>
    </row>
    <row r="102" spans="1:37" x14ac:dyDescent="0.25">
      <c r="A102" s="103" t="s">
        <v>106</v>
      </c>
      <c r="B102" s="65">
        <v>130.6</v>
      </c>
      <c r="C102" s="65">
        <v>130.80000000000001</v>
      </c>
      <c r="D102" s="65">
        <v>134</v>
      </c>
      <c r="E102" s="65">
        <v>131.5</v>
      </c>
      <c r="F102" s="65">
        <v>133.30000000000001</v>
      </c>
      <c r="G102" s="65">
        <v>129.9</v>
      </c>
      <c r="H102" s="65">
        <v>127.7</v>
      </c>
      <c r="I102" s="65">
        <v>127.2</v>
      </c>
      <c r="J102" s="65">
        <v>128.30000000000001</v>
      </c>
      <c r="K102" s="65">
        <v>128.4</v>
      </c>
      <c r="L102" s="65">
        <v>125.3</v>
      </c>
      <c r="M102" s="65">
        <v>127</v>
      </c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104"/>
      <c r="AH102" s="47">
        <f t="shared" si="9"/>
        <v>134</v>
      </c>
      <c r="AI102" s="48">
        <f t="shared" si="10"/>
        <v>125.3</v>
      </c>
    </row>
    <row r="103" spans="1:37" x14ac:dyDescent="0.25">
      <c r="A103" s="105" t="s">
        <v>107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9"/>
        <v>0</v>
      </c>
      <c r="AI103" s="48">
        <f t="shared" si="10"/>
        <v>0</v>
      </c>
    </row>
    <row r="104" spans="1:37" x14ac:dyDescent="0.25">
      <c r="A104" s="105" t="s">
        <v>108</v>
      </c>
      <c r="B104" s="106">
        <v>130.9</v>
      </c>
      <c r="C104" s="106">
        <v>133.19999999999999</v>
      </c>
      <c r="D104" s="106">
        <v>132.5</v>
      </c>
      <c r="E104" s="106">
        <v>129.9</v>
      </c>
      <c r="F104" s="106">
        <v>130.80000000000001</v>
      </c>
      <c r="G104" s="106">
        <v>133.6</v>
      </c>
      <c r="H104" s="106">
        <v>132.80000000000001</v>
      </c>
      <c r="I104" s="106">
        <v>132.30000000000001</v>
      </c>
      <c r="J104" s="106">
        <v>131.80000000000001</v>
      </c>
      <c r="K104" s="106">
        <v>135.1</v>
      </c>
      <c r="L104" s="106">
        <v>134.5</v>
      </c>
      <c r="M104" s="106">
        <v>133.80000000000001</v>
      </c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7"/>
      <c r="AH104" s="47">
        <f t="shared" si="9"/>
        <v>135.1</v>
      </c>
      <c r="AI104" s="48">
        <f t="shared" si="10"/>
        <v>129.9</v>
      </c>
    </row>
    <row r="105" spans="1:37" x14ac:dyDescent="0.25">
      <c r="A105" s="103" t="s">
        <v>109</v>
      </c>
      <c r="B105" s="65">
        <v>134.9</v>
      </c>
      <c r="C105" s="65">
        <v>135.30000000000001</v>
      </c>
      <c r="D105" s="65">
        <v>125.4</v>
      </c>
      <c r="E105" s="65">
        <v>129.4</v>
      </c>
      <c r="F105" s="65">
        <v>126.9</v>
      </c>
      <c r="G105" s="65">
        <v>128.69999999999999</v>
      </c>
      <c r="H105" s="65">
        <v>126</v>
      </c>
      <c r="I105" s="65">
        <v>130.69999999999999</v>
      </c>
      <c r="J105" s="65">
        <v>126.9</v>
      </c>
      <c r="K105" s="65">
        <v>128.19999999999999</v>
      </c>
      <c r="L105" s="65">
        <v>132</v>
      </c>
      <c r="M105" s="65">
        <v>131.19999999999999</v>
      </c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9"/>
        <v>135.30000000000001</v>
      </c>
      <c r="AI105" s="48">
        <f t="shared" si="10"/>
        <v>125.4</v>
      </c>
    </row>
    <row r="106" spans="1:37" ht="15.75" thickBot="1" x14ac:dyDescent="0.3">
      <c r="A106" s="103" t="s">
        <v>110</v>
      </c>
      <c r="B106" s="92">
        <v>66.3</v>
      </c>
      <c r="C106" s="92">
        <v>66.7</v>
      </c>
      <c r="D106" s="92">
        <v>66.3</v>
      </c>
      <c r="E106" s="92">
        <v>65.5</v>
      </c>
      <c r="F106" s="92">
        <v>65.8</v>
      </c>
      <c r="G106" s="92">
        <v>66.2</v>
      </c>
      <c r="H106" s="92">
        <v>66</v>
      </c>
      <c r="I106" s="92">
        <v>65.3</v>
      </c>
      <c r="J106" s="92">
        <v>64.3</v>
      </c>
      <c r="K106" s="92">
        <v>64.599999999999994</v>
      </c>
      <c r="L106" s="92">
        <v>64</v>
      </c>
      <c r="M106" s="92">
        <v>64.7</v>
      </c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108"/>
      <c r="AH106" s="47">
        <f t="shared" si="9"/>
        <v>66.7</v>
      </c>
      <c r="AI106" s="48">
        <f t="shared" si="10"/>
        <v>64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111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9"/>
        <v>0</v>
      </c>
      <c r="AI107" s="48">
        <f t="shared" si="10"/>
        <v>0</v>
      </c>
    </row>
    <row r="108" spans="1:37" ht="15.75" thickBot="1" x14ac:dyDescent="0.3">
      <c r="A108" s="110" t="s">
        <v>112</v>
      </c>
      <c r="B108" s="111">
        <f t="shared" ref="B108:AF108" si="16">SUM(B18,B24,B27:B28,B56,B58:B59,B61,B63,B109:B113,B135,B141,B147,B156,B158,B170,B177,B180:B181,B188,B190,B192,B196:B198,B200:B202,B207,B213:B214,B216:B218,B226,B231)</f>
        <v>117.00000000000001</v>
      </c>
      <c r="C108" s="111">
        <f t="shared" si="16"/>
        <v>104.14</v>
      </c>
      <c r="D108" s="111">
        <f t="shared" si="16"/>
        <v>103.94</v>
      </c>
      <c r="E108" s="111">
        <f t="shared" si="16"/>
        <v>103.94</v>
      </c>
      <c r="F108" s="111">
        <f t="shared" si="16"/>
        <v>111.53999999999999</v>
      </c>
      <c r="G108" s="111">
        <f t="shared" si="16"/>
        <v>139.33999999999997</v>
      </c>
      <c r="H108" s="111">
        <f t="shared" si="16"/>
        <v>160.24</v>
      </c>
      <c r="I108" s="111">
        <f t="shared" si="16"/>
        <v>198.54000000000002</v>
      </c>
      <c r="J108" s="111">
        <f t="shared" si="16"/>
        <v>242.14000000000001</v>
      </c>
      <c r="K108" s="111">
        <f t="shared" si="16"/>
        <v>304.03999999999996</v>
      </c>
      <c r="L108" s="111">
        <f t="shared" si="16"/>
        <v>302.44</v>
      </c>
      <c r="M108" s="111">
        <f t="shared" si="16"/>
        <v>317.23999999999995</v>
      </c>
      <c r="N108" s="111">
        <f t="shared" si="16"/>
        <v>0.94</v>
      </c>
      <c r="O108" s="111">
        <f t="shared" si="16"/>
        <v>0.94</v>
      </c>
      <c r="P108" s="111">
        <v>42</v>
      </c>
      <c r="Q108" s="111">
        <f t="shared" si="16"/>
        <v>0</v>
      </c>
      <c r="R108" s="111">
        <f t="shared" si="16"/>
        <v>0</v>
      </c>
      <c r="S108" s="111">
        <f t="shared" si="16"/>
        <v>0</v>
      </c>
      <c r="T108" s="111">
        <f t="shared" si="16"/>
        <v>0</v>
      </c>
      <c r="U108" s="111">
        <f t="shared" si="16"/>
        <v>0</v>
      </c>
      <c r="V108" s="111">
        <f t="shared" si="16"/>
        <v>0</v>
      </c>
      <c r="W108" s="111">
        <f t="shared" si="16"/>
        <v>0</v>
      </c>
      <c r="X108" s="111">
        <f t="shared" si="16"/>
        <v>0</v>
      </c>
      <c r="Y108" s="111">
        <f t="shared" si="16"/>
        <v>0</v>
      </c>
      <c r="Z108" s="111">
        <f t="shared" si="16"/>
        <v>0</v>
      </c>
      <c r="AA108" s="111">
        <f t="shared" si="16"/>
        <v>0</v>
      </c>
      <c r="AB108" s="111">
        <f t="shared" si="16"/>
        <v>0</v>
      </c>
      <c r="AC108" s="111">
        <f t="shared" si="16"/>
        <v>0</v>
      </c>
      <c r="AD108" s="111">
        <f t="shared" si="16"/>
        <v>0</v>
      </c>
      <c r="AE108" s="111">
        <f t="shared" si="16"/>
        <v>0</v>
      </c>
      <c r="AF108" s="111">
        <f t="shared" si="16"/>
        <v>0</v>
      </c>
      <c r="AG108" s="112"/>
      <c r="AH108" s="47">
        <f t="shared" si="9"/>
        <v>317.23999999999995</v>
      </c>
      <c r="AI108" s="48">
        <f t="shared" si="10"/>
        <v>0</v>
      </c>
    </row>
    <row r="109" spans="1:37" x14ac:dyDescent="0.25">
      <c r="A109" s="100" t="s">
        <v>113</v>
      </c>
      <c r="B109" s="113">
        <v>-10.1</v>
      </c>
      <c r="C109" s="113">
        <v>-14.3</v>
      </c>
      <c r="D109" s="113">
        <v>-15.4</v>
      </c>
      <c r="E109" s="113">
        <v>-20.7</v>
      </c>
      <c r="F109" s="113">
        <v>-25.4</v>
      </c>
      <c r="G109" s="113">
        <v>-14.9</v>
      </c>
      <c r="H109" s="113">
        <v>-10.4</v>
      </c>
      <c r="I109" s="113">
        <v>-9</v>
      </c>
      <c r="J109" s="113">
        <v>5.2</v>
      </c>
      <c r="K109" s="113">
        <v>18.100000000000001</v>
      </c>
      <c r="L109" s="113">
        <v>15.7</v>
      </c>
      <c r="M109" s="113">
        <v>19.5</v>
      </c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4">
        <v>75</v>
      </c>
      <c r="AH109" s="47">
        <f t="shared" si="9"/>
        <v>19.5</v>
      </c>
      <c r="AI109" s="48">
        <f t="shared" si="10"/>
        <v>-25.4</v>
      </c>
    </row>
    <row r="110" spans="1:37" x14ac:dyDescent="0.25">
      <c r="A110" s="103" t="s">
        <v>114</v>
      </c>
      <c r="B110" s="115">
        <v>-9.3000000000000007</v>
      </c>
      <c r="C110" s="115">
        <v>-15.7</v>
      </c>
      <c r="D110" s="115">
        <v>-17.7</v>
      </c>
      <c r="E110" s="115">
        <v>-24.5</v>
      </c>
      <c r="F110" s="115">
        <v>-32.4</v>
      </c>
      <c r="G110" s="115">
        <v>-18.100000000000001</v>
      </c>
      <c r="H110" s="115">
        <v>-13.4</v>
      </c>
      <c r="I110" s="115">
        <v>-14</v>
      </c>
      <c r="J110" s="115">
        <v>5</v>
      </c>
      <c r="K110" s="115">
        <v>16.3</v>
      </c>
      <c r="L110" s="115">
        <v>15</v>
      </c>
      <c r="M110" s="115">
        <v>18.899999999999999</v>
      </c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4">
        <v>240</v>
      </c>
      <c r="AH110" s="47">
        <f t="shared" si="9"/>
        <v>18.899999999999999</v>
      </c>
      <c r="AI110" s="48">
        <f t="shared" si="10"/>
        <v>-32.4</v>
      </c>
    </row>
    <row r="111" spans="1:37" x14ac:dyDescent="0.25">
      <c r="A111" s="103" t="s">
        <v>115</v>
      </c>
      <c r="B111" s="115">
        <v>-16</v>
      </c>
      <c r="C111" s="115">
        <v>-17</v>
      </c>
      <c r="D111" s="115">
        <v>-24</v>
      </c>
      <c r="E111" s="115">
        <v>-22.2</v>
      </c>
      <c r="F111" s="115">
        <v>0</v>
      </c>
      <c r="G111" s="115">
        <v>-0.7</v>
      </c>
      <c r="H111" s="115">
        <v>2.5</v>
      </c>
      <c r="I111" s="115">
        <v>13.9</v>
      </c>
      <c r="J111" s="115">
        <v>18.100000000000001</v>
      </c>
      <c r="K111" s="115">
        <v>43.2</v>
      </c>
      <c r="L111" s="115">
        <v>44.5</v>
      </c>
      <c r="M111" s="115">
        <v>50.1</v>
      </c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4">
        <v>240</v>
      </c>
      <c r="AH111" s="47">
        <f t="shared" si="9"/>
        <v>50.1</v>
      </c>
      <c r="AI111" s="48">
        <f t="shared" si="10"/>
        <v>-24</v>
      </c>
    </row>
    <row r="112" spans="1:37" x14ac:dyDescent="0.25">
      <c r="A112" s="103" t="s">
        <v>116</v>
      </c>
      <c r="B112" s="115">
        <v>0</v>
      </c>
      <c r="C112" s="115">
        <v>-3.5</v>
      </c>
      <c r="D112" s="115">
        <v>-5.0999999999999996</v>
      </c>
      <c r="E112" s="115">
        <v>-6.4</v>
      </c>
      <c r="F112" s="115">
        <v>-5.9</v>
      </c>
      <c r="G112" s="115">
        <v>1.3</v>
      </c>
      <c r="H112" s="115">
        <v>1.2</v>
      </c>
      <c r="I112" s="115">
        <v>4.5</v>
      </c>
      <c r="J112" s="115">
        <v>9.3000000000000007</v>
      </c>
      <c r="K112" s="115">
        <v>18.7</v>
      </c>
      <c r="L112" s="115">
        <v>20.7</v>
      </c>
      <c r="M112" s="115">
        <v>21.4</v>
      </c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4">
        <v>60</v>
      </c>
      <c r="AH112" s="47">
        <f t="shared" si="9"/>
        <v>21.4</v>
      </c>
      <c r="AI112" s="48">
        <f t="shared" si="10"/>
        <v>-6.4</v>
      </c>
    </row>
    <row r="113" spans="1:37" x14ac:dyDescent="0.25">
      <c r="A113" s="116" t="s">
        <v>117</v>
      </c>
      <c r="B113" s="117">
        <v>63</v>
      </c>
      <c r="C113" s="117">
        <v>64.3</v>
      </c>
      <c r="D113" s="117">
        <v>75.8</v>
      </c>
      <c r="E113" s="117">
        <v>85.9</v>
      </c>
      <c r="F113" s="117">
        <v>85.7</v>
      </c>
      <c r="G113" s="117">
        <v>82.2</v>
      </c>
      <c r="H113" s="117">
        <v>90.7</v>
      </c>
      <c r="I113" s="117">
        <v>110</v>
      </c>
      <c r="J113" s="117">
        <v>112</v>
      </c>
      <c r="K113" s="117">
        <v>115.2</v>
      </c>
      <c r="L113" s="117">
        <v>112</v>
      </c>
      <c r="M113" s="117">
        <v>113</v>
      </c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8">
        <v>120</v>
      </c>
      <c r="AH113" s="47">
        <f t="shared" si="9"/>
        <v>115.2</v>
      </c>
      <c r="AI113" s="48">
        <f t="shared" si="10"/>
        <v>63</v>
      </c>
    </row>
    <row r="114" spans="1:37" x14ac:dyDescent="0.25">
      <c r="A114" s="116" t="s">
        <v>118</v>
      </c>
      <c r="B114" s="117">
        <v>61</v>
      </c>
      <c r="C114" s="117">
        <v>64.900000000000006</v>
      </c>
      <c r="D114" s="117">
        <v>82.5</v>
      </c>
      <c r="E114" s="117">
        <v>92.5</v>
      </c>
      <c r="F114" s="117">
        <v>81.5</v>
      </c>
      <c r="G114" s="117">
        <v>73.2</v>
      </c>
      <c r="H114" s="117">
        <v>80.400000000000006</v>
      </c>
      <c r="I114" s="117">
        <v>90.5</v>
      </c>
      <c r="J114" s="117">
        <v>85.3</v>
      </c>
      <c r="K114" s="117">
        <v>82.9</v>
      </c>
      <c r="L114" s="117">
        <v>90</v>
      </c>
      <c r="M114" s="117">
        <v>92.2</v>
      </c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8"/>
      <c r="AH114" s="47">
        <f t="shared" si="9"/>
        <v>92.5</v>
      </c>
      <c r="AI114" s="48">
        <f t="shared" si="10"/>
        <v>61</v>
      </c>
    </row>
    <row r="115" spans="1:37" x14ac:dyDescent="0.25">
      <c r="A115" s="116" t="s">
        <v>119</v>
      </c>
      <c r="B115" s="117">
        <v>34.299999999999997</v>
      </c>
      <c r="C115" s="117">
        <v>39.1</v>
      </c>
      <c r="D115" s="117">
        <v>39.6</v>
      </c>
      <c r="E115" s="117">
        <v>41.2</v>
      </c>
      <c r="F115" s="117">
        <v>52.6</v>
      </c>
      <c r="G115" s="117">
        <v>34.4</v>
      </c>
      <c r="H115" s="117">
        <v>39</v>
      </c>
      <c r="I115" s="117">
        <v>39.6</v>
      </c>
      <c r="J115" s="117">
        <v>26.4</v>
      </c>
      <c r="K115" s="117">
        <v>12.6</v>
      </c>
      <c r="L115" s="117">
        <v>12</v>
      </c>
      <c r="M115" s="117">
        <v>8.6999999999999993</v>
      </c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9"/>
      <c r="AH115" s="47">
        <f t="shared" si="9"/>
        <v>52.6</v>
      </c>
      <c r="AI115" s="48">
        <f t="shared" si="10"/>
        <v>8.6999999999999993</v>
      </c>
    </row>
    <row r="116" spans="1:37" x14ac:dyDescent="0.25">
      <c r="A116" s="120" t="s">
        <v>120</v>
      </c>
      <c r="B116" s="106">
        <v>-18</v>
      </c>
      <c r="C116" s="106">
        <v>-17.2</v>
      </c>
      <c r="D116" s="106">
        <v>-14.9</v>
      </c>
      <c r="E116" s="106">
        <v>-11</v>
      </c>
      <c r="F116" s="106">
        <v>-12.7</v>
      </c>
      <c r="G116" s="106">
        <v>-18.2</v>
      </c>
      <c r="H116" s="106">
        <v>-27.6</v>
      </c>
      <c r="I116" s="106">
        <v>45.6</v>
      </c>
      <c r="J116" s="106">
        <v>-64.3</v>
      </c>
      <c r="K116" s="106">
        <v>-77.599999999999994</v>
      </c>
      <c r="L116" s="106">
        <v>-87.8</v>
      </c>
      <c r="M116" s="106">
        <v>-80.400000000000006</v>
      </c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19"/>
      <c r="AH116" s="47">
        <f t="shared" si="9"/>
        <v>45.6</v>
      </c>
      <c r="AI116" s="48">
        <f t="shared" si="10"/>
        <v>-87.8</v>
      </c>
    </row>
    <row r="117" spans="1:37" ht="15.75" thickBot="1" x14ac:dyDescent="0.3">
      <c r="A117" s="120" t="s">
        <v>121</v>
      </c>
      <c r="B117" s="106">
        <v>78.5</v>
      </c>
      <c r="C117" s="106">
        <v>78.3</v>
      </c>
      <c r="D117" s="106">
        <v>71</v>
      </c>
      <c r="E117" s="106">
        <v>67</v>
      </c>
      <c r="F117" s="106">
        <v>65</v>
      </c>
      <c r="G117" s="106">
        <v>74</v>
      </c>
      <c r="H117" s="106">
        <v>83.5</v>
      </c>
      <c r="I117" s="106">
        <v>82.5</v>
      </c>
      <c r="J117" s="106">
        <v>94.1</v>
      </c>
      <c r="K117" s="106">
        <v>89</v>
      </c>
      <c r="L117" s="106">
        <v>88.9</v>
      </c>
      <c r="M117" s="106">
        <v>85.3</v>
      </c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19"/>
      <c r="AH117" s="47">
        <f t="shared" si="9"/>
        <v>94.1</v>
      </c>
      <c r="AI117" s="48">
        <f t="shared" si="10"/>
        <v>65</v>
      </c>
    </row>
    <row r="118" spans="1:37" ht="15.75" thickBot="1" x14ac:dyDescent="0.3">
      <c r="A118" s="121" t="s">
        <v>122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123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124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125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126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127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128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129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130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131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132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133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134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135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136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137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138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139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140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141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142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143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144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145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146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147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148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149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150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151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152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153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154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155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156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157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158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159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160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161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162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163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164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165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166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167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168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169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170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171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172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173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174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175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176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177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178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179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180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181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182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183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184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185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186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187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188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189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190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191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192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193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194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195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196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197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198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199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200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201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202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203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204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205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206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207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208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209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210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211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212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213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214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215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216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217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218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219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220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221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222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223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224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225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226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227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228</v>
      </c>
      <c r="B224" s="135">
        <f t="shared" ref="B224:AG224" si="17">SUM(B119:B223)</f>
        <v>0</v>
      </c>
      <c r="C224" s="136">
        <f t="shared" si="17"/>
        <v>0</v>
      </c>
      <c r="D224" s="136">
        <f t="shared" si="17"/>
        <v>0</v>
      </c>
      <c r="E224" s="136">
        <f t="shared" si="17"/>
        <v>0</v>
      </c>
      <c r="F224" s="136">
        <f t="shared" si="17"/>
        <v>0</v>
      </c>
      <c r="G224" s="136">
        <f t="shared" si="17"/>
        <v>0</v>
      </c>
      <c r="H224" s="136">
        <f t="shared" si="17"/>
        <v>0</v>
      </c>
      <c r="I224" s="136">
        <f t="shared" si="17"/>
        <v>0</v>
      </c>
      <c r="J224" s="136">
        <f t="shared" si="17"/>
        <v>0</v>
      </c>
      <c r="K224" s="136">
        <f t="shared" si="17"/>
        <v>0</v>
      </c>
      <c r="L224" s="136">
        <f t="shared" si="17"/>
        <v>0</v>
      </c>
      <c r="M224" s="136">
        <f t="shared" si="17"/>
        <v>0</v>
      </c>
      <c r="N224" s="136">
        <f t="shared" si="17"/>
        <v>0</v>
      </c>
      <c r="O224" s="136">
        <f t="shared" si="17"/>
        <v>0</v>
      </c>
      <c r="P224" s="136">
        <f t="shared" si="17"/>
        <v>0</v>
      </c>
      <c r="Q224" s="136">
        <f t="shared" si="17"/>
        <v>0</v>
      </c>
      <c r="R224" s="136">
        <f t="shared" si="17"/>
        <v>0</v>
      </c>
      <c r="S224" s="136">
        <f t="shared" si="17"/>
        <v>0</v>
      </c>
      <c r="T224" s="136">
        <f t="shared" si="17"/>
        <v>0</v>
      </c>
      <c r="U224" s="136">
        <f t="shared" si="17"/>
        <v>0</v>
      </c>
      <c r="V224" s="136">
        <f t="shared" si="17"/>
        <v>0</v>
      </c>
      <c r="W224" s="136">
        <f t="shared" si="17"/>
        <v>0</v>
      </c>
      <c r="X224" s="136">
        <f t="shared" si="17"/>
        <v>0</v>
      </c>
      <c r="Y224" s="136">
        <f t="shared" si="17"/>
        <v>0</v>
      </c>
      <c r="Z224" s="136">
        <f t="shared" si="17"/>
        <v>0</v>
      </c>
      <c r="AA224" s="136">
        <f t="shared" si="17"/>
        <v>0</v>
      </c>
      <c r="AB224" s="136">
        <f t="shared" si="17"/>
        <v>0</v>
      </c>
      <c r="AC224" s="136">
        <f t="shared" si="17"/>
        <v>0</v>
      </c>
      <c r="AD224" s="136">
        <f t="shared" si="17"/>
        <v>0</v>
      </c>
      <c r="AE224" s="136">
        <f t="shared" si="17"/>
        <v>0</v>
      </c>
      <c r="AF224" s="137">
        <f t="shared" si="17"/>
        <v>0</v>
      </c>
      <c r="AG224" s="138">
        <f t="shared" si="17"/>
        <v>412.72299999999984</v>
      </c>
      <c r="AH224" s="47"/>
      <c r="AI224" s="48"/>
      <c r="AK224" s="49"/>
    </row>
    <row r="225" spans="1:37" ht="15.75" thickBot="1" x14ac:dyDescent="0.3">
      <c r="A225" s="26" t="s">
        <v>69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229</v>
      </c>
      <c r="B226" s="140">
        <f t="shared" ref="B226:B231" si="18">AF226</f>
        <v>0</v>
      </c>
      <c r="C226" s="140">
        <v>0.3</v>
      </c>
      <c r="D226" s="140">
        <f t="shared" ref="D226:P231" si="19">C226</f>
        <v>0.3</v>
      </c>
      <c r="E226" s="140">
        <f t="shared" si="19"/>
        <v>0.3</v>
      </c>
      <c r="F226" s="140">
        <f t="shared" si="19"/>
        <v>0.3</v>
      </c>
      <c r="G226" s="140">
        <f t="shared" si="19"/>
        <v>0.3</v>
      </c>
      <c r="H226" s="140">
        <f t="shared" si="19"/>
        <v>0.3</v>
      </c>
      <c r="I226" s="140">
        <f t="shared" si="19"/>
        <v>0.3</v>
      </c>
      <c r="J226" s="140">
        <f t="shared" si="19"/>
        <v>0.3</v>
      </c>
      <c r="K226" s="140">
        <f t="shared" si="19"/>
        <v>0.3</v>
      </c>
      <c r="L226" s="140">
        <f t="shared" si="19"/>
        <v>0.3</v>
      </c>
      <c r="M226" s="140">
        <f t="shared" si="19"/>
        <v>0.3</v>
      </c>
      <c r="N226" s="140">
        <f t="shared" si="19"/>
        <v>0.3</v>
      </c>
      <c r="O226" s="140">
        <f t="shared" si="19"/>
        <v>0.3</v>
      </c>
      <c r="P226" s="140">
        <f t="shared" si="19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230</v>
      </c>
      <c r="B227" s="128">
        <f t="shared" si="18"/>
        <v>0</v>
      </c>
      <c r="C227" s="128">
        <v>0.4</v>
      </c>
      <c r="D227" s="128">
        <f t="shared" si="19"/>
        <v>0.4</v>
      </c>
      <c r="E227" s="128">
        <f t="shared" si="19"/>
        <v>0.4</v>
      </c>
      <c r="F227" s="128">
        <f t="shared" si="19"/>
        <v>0.4</v>
      </c>
      <c r="G227" s="128">
        <f t="shared" si="19"/>
        <v>0.4</v>
      </c>
      <c r="H227" s="128">
        <f t="shared" si="19"/>
        <v>0.4</v>
      </c>
      <c r="I227" s="128">
        <f t="shared" si="19"/>
        <v>0.4</v>
      </c>
      <c r="J227" s="128">
        <f t="shared" si="19"/>
        <v>0.4</v>
      </c>
      <c r="K227" s="128">
        <f t="shared" si="19"/>
        <v>0.4</v>
      </c>
      <c r="L227" s="128">
        <f t="shared" si="19"/>
        <v>0.4</v>
      </c>
      <c r="M227" s="128">
        <f t="shared" si="19"/>
        <v>0.4</v>
      </c>
      <c r="N227" s="128">
        <f t="shared" si="19"/>
        <v>0.4</v>
      </c>
      <c r="O227" s="128">
        <f t="shared" si="19"/>
        <v>0.4</v>
      </c>
      <c r="P227" s="128">
        <f t="shared" si="19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231</v>
      </c>
      <c r="B228" s="128">
        <f t="shared" si="18"/>
        <v>0</v>
      </c>
      <c r="C228" s="128">
        <v>1.5</v>
      </c>
      <c r="D228" s="128">
        <f t="shared" si="19"/>
        <v>1.5</v>
      </c>
      <c r="E228" s="128">
        <f t="shared" si="19"/>
        <v>1.5</v>
      </c>
      <c r="F228" s="128">
        <f t="shared" si="19"/>
        <v>1.5</v>
      </c>
      <c r="G228" s="128">
        <f t="shared" si="19"/>
        <v>1.5</v>
      </c>
      <c r="H228" s="128">
        <f t="shared" si="19"/>
        <v>1.5</v>
      </c>
      <c r="I228" s="111">
        <f ca="1">SUM(I140,I146,I149:I150,I176,I178:I179,I181,I183,I229:I233,I255,I261,I267,I276,I278,I290,I297,I300:I301,I308,I310,I312,I316:I318,I320:I322,I327,I333:I334,I336:I338,I346,I351)</f>
        <v>87.039000000000001</v>
      </c>
      <c r="J228" s="128">
        <f t="shared" ca="1" si="19"/>
        <v>1.5</v>
      </c>
      <c r="K228" s="128">
        <f t="shared" ca="1" si="19"/>
        <v>1.5</v>
      </c>
      <c r="L228" s="128">
        <f t="shared" ca="1" si="19"/>
        <v>1.5</v>
      </c>
      <c r="M228" s="128">
        <f t="shared" ca="1" si="19"/>
        <v>1.5</v>
      </c>
      <c r="N228" s="128">
        <f t="shared" ca="1" si="19"/>
        <v>1.5</v>
      </c>
      <c r="O228" s="128">
        <f t="shared" ca="1" si="19"/>
        <v>1.5</v>
      </c>
      <c r="P228" s="128">
        <f t="shared" ca="1" si="19"/>
        <v>1.5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232</v>
      </c>
      <c r="B229" s="128">
        <f t="shared" si="18"/>
        <v>0</v>
      </c>
      <c r="C229" s="128">
        <v>0.3</v>
      </c>
      <c r="D229" s="128">
        <f t="shared" si="19"/>
        <v>0.3</v>
      </c>
      <c r="E229" s="128">
        <f t="shared" si="19"/>
        <v>0.3</v>
      </c>
      <c r="F229" s="128">
        <f t="shared" si="19"/>
        <v>0.3</v>
      </c>
      <c r="G229" s="128">
        <f t="shared" si="19"/>
        <v>0.3</v>
      </c>
      <c r="H229" s="128">
        <f t="shared" si="19"/>
        <v>0.3</v>
      </c>
      <c r="I229" s="128">
        <f t="shared" si="19"/>
        <v>0.3</v>
      </c>
      <c r="J229" s="128">
        <f t="shared" si="19"/>
        <v>0.3</v>
      </c>
      <c r="K229" s="128">
        <f t="shared" si="19"/>
        <v>0.3</v>
      </c>
      <c r="L229" s="128">
        <f t="shared" si="19"/>
        <v>0.3</v>
      </c>
      <c r="M229" s="128">
        <f t="shared" si="19"/>
        <v>0.3</v>
      </c>
      <c r="N229" s="128">
        <f t="shared" si="19"/>
        <v>0.3</v>
      </c>
      <c r="O229" s="128">
        <f t="shared" si="19"/>
        <v>0.3</v>
      </c>
      <c r="P229" s="128">
        <f t="shared" si="19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233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234</v>
      </c>
      <c r="B231" s="132">
        <f t="shared" si="18"/>
        <v>0</v>
      </c>
      <c r="C231" s="132">
        <v>0.64</v>
      </c>
      <c r="D231" s="132">
        <f t="shared" si="19"/>
        <v>0.64</v>
      </c>
      <c r="E231" s="132">
        <f t="shared" si="19"/>
        <v>0.64</v>
      </c>
      <c r="F231" s="132">
        <f t="shared" si="19"/>
        <v>0.64</v>
      </c>
      <c r="G231" s="132">
        <f t="shared" si="19"/>
        <v>0.64</v>
      </c>
      <c r="H231" s="132">
        <f t="shared" si="19"/>
        <v>0.64</v>
      </c>
      <c r="I231" s="132">
        <f t="shared" si="19"/>
        <v>0.64</v>
      </c>
      <c r="J231" s="132">
        <f t="shared" si="19"/>
        <v>0.64</v>
      </c>
      <c r="K231" s="132">
        <f t="shared" si="19"/>
        <v>0.64</v>
      </c>
      <c r="L231" s="132">
        <f t="shared" si="19"/>
        <v>0.64</v>
      </c>
      <c r="M231" s="132">
        <f t="shared" si="19"/>
        <v>0.64</v>
      </c>
      <c r="N231" s="132">
        <f t="shared" si="19"/>
        <v>0.64</v>
      </c>
      <c r="O231" s="132">
        <f t="shared" si="19"/>
        <v>0.64</v>
      </c>
      <c r="P231" s="132">
        <f t="shared" si="19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69</v>
      </c>
      <c r="B232" s="136">
        <f t="shared" ref="B232:AG232" si="20">SUM(B226:B231)</f>
        <v>0</v>
      </c>
      <c r="C232" s="136">
        <f t="shared" si="20"/>
        <v>3.54</v>
      </c>
      <c r="D232" s="136">
        <f t="shared" si="20"/>
        <v>3.54</v>
      </c>
      <c r="E232" s="136">
        <f t="shared" si="20"/>
        <v>3.54</v>
      </c>
      <c r="F232" s="136">
        <f t="shared" si="20"/>
        <v>3.54</v>
      </c>
      <c r="G232" s="136">
        <f t="shared" si="20"/>
        <v>3.54</v>
      </c>
      <c r="H232" s="136">
        <f t="shared" si="20"/>
        <v>3.54</v>
      </c>
      <c r="I232" s="136">
        <f t="shared" ca="1" si="20"/>
        <v>3.54</v>
      </c>
      <c r="J232" s="136">
        <f t="shared" ca="1" si="20"/>
        <v>3.54</v>
      </c>
      <c r="K232" s="136">
        <f t="shared" ca="1" si="20"/>
        <v>3.54</v>
      </c>
      <c r="L232" s="136">
        <f t="shared" ca="1" si="20"/>
        <v>3.54</v>
      </c>
      <c r="M232" s="136">
        <f t="shared" ca="1" si="20"/>
        <v>3.54</v>
      </c>
      <c r="N232" s="136">
        <f t="shared" ca="1" si="20"/>
        <v>3.54</v>
      </c>
      <c r="O232" s="136">
        <f t="shared" ca="1" si="20"/>
        <v>3.54</v>
      </c>
      <c r="P232" s="136">
        <f t="shared" ca="1" si="20"/>
        <v>3.54</v>
      </c>
      <c r="Q232" s="136">
        <f t="shared" si="20"/>
        <v>0</v>
      </c>
      <c r="R232" s="136">
        <f t="shared" si="20"/>
        <v>0</v>
      </c>
      <c r="S232" s="136">
        <f t="shared" si="20"/>
        <v>0</v>
      </c>
      <c r="T232" s="136">
        <f t="shared" si="20"/>
        <v>0</v>
      </c>
      <c r="U232" s="136">
        <f t="shared" si="20"/>
        <v>0</v>
      </c>
      <c r="V232" s="136">
        <f t="shared" si="20"/>
        <v>0</v>
      </c>
      <c r="W232" s="136">
        <f t="shared" si="20"/>
        <v>0</v>
      </c>
      <c r="X232" s="136">
        <f t="shared" si="20"/>
        <v>0</v>
      </c>
      <c r="Y232" s="136">
        <f t="shared" si="20"/>
        <v>0</v>
      </c>
      <c r="Z232" s="136">
        <f t="shared" si="20"/>
        <v>0</v>
      </c>
      <c r="AA232" s="136">
        <f t="shared" si="20"/>
        <v>0</v>
      </c>
      <c r="AB232" s="136">
        <f t="shared" si="20"/>
        <v>0</v>
      </c>
      <c r="AC232" s="136">
        <f t="shared" si="20"/>
        <v>0</v>
      </c>
      <c r="AD232" s="136">
        <f t="shared" si="20"/>
        <v>0</v>
      </c>
      <c r="AE232" s="136">
        <f t="shared" si="20"/>
        <v>0</v>
      </c>
      <c r="AF232" s="136">
        <f t="shared" si="20"/>
        <v>0</v>
      </c>
      <c r="AG232" s="145">
        <f t="shared" si="20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235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236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237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238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239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240</v>
      </c>
      <c r="B241" s="160">
        <f>MAX(G89:N89)</f>
        <v>1396.1489999999999</v>
      </c>
      <c r="C241" s="161">
        <f>INDEX(G9:N9,1,MATCH(MAX(G89:N89),G89:N89,0))</f>
        <v>0.29166666666666669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1chaitra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95" t="s">
        <v>241</v>
      </c>
      <c r="B243" s="195"/>
      <c r="C243" s="43"/>
      <c r="D243" s="162" t="e">
        <f ca="1">"Pie Chart of Daily Peak Demand(Inclusive of Export) of Nepal ("&amp;A4&amp;" "&amp;B4&amp;")"</f>
        <v>#VALUE!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e">
        <f ca="1">"Daily Load Curve(Excluding of Export) of Nepal ("&amp;A4&amp;" "&amp;B4&amp;")"</f>
        <v>#VALUE!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242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243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244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245</v>
      </c>
      <c r="T246" s="170">
        <f t="shared" ref="T246:AX246" si="21">B89</f>
        <v>1018.64</v>
      </c>
      <c r="U246" s="170">
        <f t="shared" si="21"/>
        <v>1004.64</v>
      </c>
      <c r="V246" s="170">
        <f t="shared" si="21"/>
        <v>989.64</v>
      </c>
      <c r="W246" s="170">
        <f t="shared" si="21"/>
        <v>965.54</v>
      </c>
      <c r="X246" s="170">
        <f t="shared" si="21"/>
        <v>971.23900000000003</v>
      </c>
      <c r="Y246" s="170">
        <f t="shared" si="21"/>
        <v>1016.2390000000001</v>
      </c>
      <c r="Z246" s="170">
        <f t="shared" si="21"/>
        <v>1107.3389999999999</v>
      </c>
      <c r="AA246" s="170">
        <f t="shared" si="21"/>
        <v>1162.6489999999999</v>
      </c>
      <c r="AB246" s="170">
        <f t="shared" si="21"/>
        <v>1256.049</v>
      </c>
      <c r="AC246" s="170">
        <f t="shared" si="21"/>
        <v>1396.1489999999999</v>
      </c>
      <c r="AD246" s="170">
        <f t="shared" si="21"/>
        <v>1389.64</v>
      </c>
      <c r="AE246" s="170">
        <f t="shared" si="21"/>
        <v>1256.6399999999999</v>
      </c>
      <c r="AF246" s="170">
        <f t="shared" si="21"/>
        <v>3.54</v>
      </c>
      <c r="AG246" s="170">
        <f t="shared" si="21"/>
        <v>3.54</v>
      </c>
      <c r="AH246" s="170">
        <f t="shared" si="21"/>
        <v>3.54</v>
      </c>
      <c r="AI246" s="170">
        <f t="shared" si="21"/>
        <v>3.54</v>
      </c>
      <c r="AJ246" s="170">
        <f t="shared" si="21"/>
        <v>3.54</v>
      </c>
      <c r="AK246" s="170">
        <f t="shared" si="21"/>
        <v>3.54</v>
      </c>
      <c r="AL246" s="170">
        <f t="shared" si="21"/>
        <v>3.54</v>
      </c>
      <c r="AM246" s="170">
        <f t="shared" si="21"/>
        <v>3.54</v>
      </c>
      <c r="AN246" s="170">
        <f t="shared" si="21"/>
        <v>3.54</v>
      </c>
      <c r="AO246" s="170">
        <f t="shared" si="21"/>
        <v>3.54</v>
      </c>
      <c r="AP246" s="170">
        <f t="shared" si="21"/>
        <v>3.54</v>
      </c>
      <c r="AQ246" s="170">
        <f t="shared" si="21"/>
        <v>3.54</v>
      </c>
      <c r="AR246" s="170">
        <f t="shared" si="21"/>
        <v>3.54</v>
      </c>
      <c r="AS246" s="170">
        <f t="shared" si="21"/>
        <v>3.54</v>
      </c>
      <c r="AT246" s="170">
        <f t="shared" si="21"/>
        <v>3.54</v>
      </c>
      <c r="AU246" s="170">
        <f t="shared" si="21"/>
        <v>3.54</v>
      </c>
      <c r="AV246" s="170">
        <f t="shared" si="21"/>
        <v>3.54</v>
      </c>
      <c r="AW246" s="170">
        <f t="shared" si="21"/>
        <v>3.54</v>
      </c>
      <c r="AX246" s="170">
        <f t="shared" si="21"/>
        <v>3.54</v>
      </c>
    </row>
    <row r="247" spans="1:50" x14ac:dyDescent="0.25">
      <c r="A247" s="163" t="s">
        <v>246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247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249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250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235</v>
      </c>
      <c r="B267" s="173">
        <f t="shared" ref="B267:AE267" si="22">C231</f>
        <v>0.64</v>
      </c>
      <c r="C267" s="173">
        <f t="shared" si="22"/>
        <v>0.64</v>
      </c>
      <c r="D267" s="173">
        <f t="shared" si="22"/>
        <v>0.64</v>
      </c>
      <c r="E267" s="173">
        <f t="shared" si="22"/>
        <v>0.64</v>
      </c>
      <c r="F267" s="173">
        <f t="shared" si="22"/>
        <v>0.64</v>
      </c>
      <c r="G267" s="173">
        <f t="shared" si="22"/>
        <v>0.64</v>
      </c>
      <c r="H267" s="173">
        <f t="shared" si="22"/>
        <v>0.64</v>
      </c>
      <c r="I267" s="173">
        <f t="shared" si="22"/>
        <v>0.64</v>
      </c>
      <c r="J267" s="173">
        <f t="shared" si="22"/>
        <v>0.64</v>
      </c>
      <c r="K267" s="173">
        <f t="shared" si="22"/>
        <v>0.64</v>
      </c>
      <c r="L267" s="173">
        <f t="shared" si="22"/>
        <v>0.64</v>
      </c>
      <c r="M267" s="173">
        <f t="shared" si="22"/>
        <v>0.64</v>
      </c>
      <c r="N267" s="173">
        <f t="shared" si="22"/>
        <v>0.64</v>
      </c>
      <c r="O267" s="173">
        <f t="shared" si="22"/>
        <v>0.64</v>
      </c>
      <c r="P267" s="173">
        <f t="shared" si="22"/>
        <v>0</v>
      </c>
      <c r="Q267" s="173">
        <f t="shared" si="22"/>
        <v>0</v>
      </c>
      <c r="R267" s="173">
        <f t="shared" si="22"/>
        <v>0</v>
      </c>
      <c r="S267" s="173">
        <f t="shared" si="22"/>
        <v>0</v>
      </c>
      <c r="T267" s="173">
        <f t="shared" si="22"/>
        <v>0</v>
      </c>
      <c r="U267" s="173">
        <f t="shared" si="22"/>
        <v>0</v>
      </c>
      <c r="V267" s="173">
        <f t="shared" si="22"/>
        <v>0</v>
      </c>
      <c r="W267" s="173">
        <f t="shared" si="22"/>
        <v>0</v>
      </c>
      <c r="X267" s="173">
        <f t="shared" si="22"/>
        <v>0</v>
      </c>
      <c r="Y267" s="173">
        <f t="shared" si="22"/>
        <v>0</v>
      </c>
      <c r="Z267" s="173">
        <f t="shared" si="22"/>
        <v>0</v>
      </c>
      <c r="AA267" s="173">
        <f t="shared" si="22"/>
        <v>0</v>
      </c>
      <c r="AB267" s="173">
        <f t="shared" si="22"/>
        <v>0</v>
      </c>
      <c r="AC267" s="173">
        <f t="shared" si="22"/>
        <v>0</v>
      </c>
      <c r="AD267" s="173">
        <f t="shared" si="22"/>
        <v>0</v>
      </c>
      <c r="AE267" s="173">
        <f t="shared" si="22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3">IF(B235&lt;100,"",B235-520)</f>
        <v/>
      </c>
      <c r="C268" s="174" t="str">
        <f t="shared" si="23"/>
        <v/>
      </c>
      <c r="D268" s="174" t="str">
        <f t="shared" si="23"/>
        <v/>
      </c>
      <c r="E268" s="174" t="str">
        <f t="shared" si="23"/>
        <v/>
      </c>
      <c r="F268" s="174" t="str">
        <f t="shared" si="23"/>
        <v/>
      </c>
      <c r="G268" s="174" t="str">
        <f t="shared" si="23"/>
        <v/>
      </c>
      <c r="H268" s="174" t="str">
        <f t="shared" si="23"/>
        <v/>
      </c>
      <c r="I268" s="174" t="str">
        <f t="shared" si="23"/>
        <v/>
      </c>
      <c r="J268" s="174" t="str">
        <f t="shared" si="23"/>
        <v/>
      </c>
      <c r="K268" s="174" t="str">
        <f t="shared" si="23"/>
        <v/>
      </c>
      <c r="L268" s="174" t="str">
        <f t="shared" si="23"/>
        <v/>
      </c>
      <c r="M268" s="174" t="str">
        <f t="shared" si="23"/>
        <v/>
      </c>
      <c r="N268" s="174" t="str">
        <f t="shared" si="23"/>
        <v/>
      </c>
      <c r="O268" s="174" t="str">
        <f t="shared" si="23"/>
        <v/>
      </c>
      <c r="P268" s="174" t="str">
        <f t="shared" si="23"/>
        <v/>
      </c>
      <c r="Q268" s="174" t="str">
        <f t="shared" si="23"/>
        <v/>
      </c>
      <c r="R268" s="174" t="str">
        <f t="shared" si="23"/>
        <v/>
      </c>
      <c r="S268" s="174" t="str">
        <f t="shared" si="23"/>
        <v/>
      </c>
      <c r="T268" s="174" t="str">
        <f t="shared" si="23"/>
        <v/>
      </c>
      <c r="U268" s="174" t="str">
        <f t="shared" si="23"/>
        <v/>
      </c>
      <c r="V268" s="174" t="str">
        <f t="shared" si="23"/>
        <v/>
      </c>
      <c r="W268" s="174" t="str">
        <f t="shared" si="23"/>
        <v/>
      </c>
      <c r="X268" s="174" t="str">
        <f t="shared" si="23"/>
        <v/>
      </c>
      <c r="Y268" s="174" t="str">
        <f t="shared" si="23"/>
        <v/>
      </c>
      <c r="Z268" s="174" t="str">
        <f t="shared" si="23"/>
        <v/>
      </c>
      <c r="AA268" s="174" t="str">
        <f t="shared" si="23"/>
        <v/>
      </c>
      <c r="AB268" s="174" t="str">
        <f t="shared" si="23"/>
        <v/>
      </c>
      <c r="AC268" s="174" t="str">
        <f t="shared" si="23"/>
        <v/>
      </c>
      <c r="AD268" s="174" t="str">
        <f t="shared" si="23"/>
        <v/>
      </c>
      <c r="AE268" s="174" t="str">
        <f t="shared" si="23"/>
        <v/>
      </c>
      <c r="AF268" s="174" t="str">
        <f t="shared" si="23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4">IF(B236&lt;100,"",B236-620)</f>
        <v/>
      </c>
      <c r="C269" s="174" t="str">
        <f t="shared" si="24"/>
        <v/>
      </c>
      <c r="D269" s="174" t="str">
        <f t="shared" si="24"/>
        <v/>
      </c>
      <c r="E269" s="174" t="str">
        <f t="shared" si="24"/>
        <v/>
      </c>
      <c r="F269" s="174" t="str">
        <f t="shared" si="24"/>
        <v/>
      </c>
      <c r="G269" s="174" t="str">
        <f t="shared" si="24"/>
        <v/>
      </c>
      <c r="H269" s="174" t="str">
        <f t="shared" si="24"/>
        <v/>
      </c>
      <c r="I269" s="174" t="str">
        <f t="shared" si="24"/>
        <v/>
      </c>
      <c r="J269" s="174" t="str">
        <f t="shared" si="24"/>
        <v/>
      </c>
      <c r="K269" s="174" t="str">
        <f t="shared" si="24"/>
        <v/>
      </c>
      <c r="L269" s="174" t="str">
        <f t="shared" si="24"/>
        <v/>
      </c>
      <c r="M269" s="174" t="str">
        <f t="shared" si="24"/>
        <v/>
      </c>
      <c r="N269" s="174" t="str">
        <f t="shared" si="24"/>
        <v/>
      </c>
      <c r="O269" s="174" t="str">
        <f t="shared" si="24"/>
        <v/>
      </c>
      <c r="P269" s="174" t="str">
        <f t="shared" si="24"/>
        <v/>
      </c>
      <c r="Q269" s="174" t="str">
        <f t="shared" si="24"/>
        <v/>
      </c>
      <c r="R269" s="174" t="str">
        <f t="shared" si="24"/>
        <v/>
      </c>
      <c r="S269" s="174" t="str">
        <f t="shared" si="24"/>
        <v/>
      </c>
      <c r="T269" s="174" t="str">
        <f t="shared" si="24"/>
        <v/>
      </c>
      <c r="U269" s="174" t="str">
        <f t="shared" si="24"/>
        <v/>
      </c>
      <c r="V269" s="174" t="str">
        <f t="shared" si="24"/>
        <v/>
      </c>
      <c r="W269" s="174" t="str">
        <f t="shared" si="24"/>
        <v/>
      </c>
      <c r="X269" s="174" t="str">
        <f t="shared" si="24"/>
        <v/>
      </c>
      <c r="Y269" s="174" t="str">
        <f t="shared" si="24"/>
        <v/>
      </c>
      <c r="Z269" s="174" t="str">
        <f t="shared" si="24"/>
        <v/>
      </c>
      <c r="AA269" s="174" t="str">
        <f t="shared" si="24"/>
        <v/>
      </c>
      <c r="AB269" s="174" t="str">
        <f t="shared" si="24"/>
        <v/>
      </c>
      <c r="AC269" s="174" t="str">
        <f t="shared" si="24"/>
        <v/>
      </c>
      <c r="AD269" s="174" t="str">
        <f t="shared" si="24"/>
        <v/>
      </c>
      <c r="AE269" s="174" t="str">
        <f t="shared" si="24"/>
        <v/>
      </c>
      <c r="AF269" s="174" t="str">
        <f t="shared" si="24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5">IF(B237&lt;100,"",B237-330)</f>
        <v/>
      </c>
      <c r="C270" s="174" t="str">
        <f t="shared" si="25"/>
        <v/>
      </c>
      <c r="D270" s="174" t="str">
        <f t="shared" si="25"/>
        <v/>
      </c>
      <c r="E270" s="174" t="str">
        <f t="shared" si="25"/>
        <v/>
      </c>
      <c r="F270" s="174" t="str">
        <f t="shared" si="25"/>
        <v/>
      </c>
      <c r="G270" s="174" t="str">
        <f t="shared" si="25"/>
        <v/>
      </c>
      <c r="H270" s="174" t="str">
        <f t="shared" si="25"/>
        <v/>
      </c>
      <c r="I270" s="174" t="str">
        <f t="shared" si="25"/>
        <v/>
      </c>
      <c r="J270" s="174" t="str">
        <f t="shared" si="25"/>
        <v/>
      </c>
      <c r="K270" s="174" t="str">
        <f t="shared" si="25"/>
        <v/>
      </c>
      <c r="L270" s="174" t="str">
        <f t="shared" si="25"/>
        <v/>
      </c>
      <c r="M270" s="174" t="str">
        <f t="shared" si="25"/>
        <v/>
      </c>
      <c r="N270" s="174" t="str">
        <f t="shared" si="25"/>
        <v/>
      </c>
      <c r="O270" s="174" t="str">
        <f t="shared" si="25"/>
        <v/>
      </c>
      <c r="P270" s="174" t="str">
        <f t="shared" si="25"/>
        <v/>
      </c>
      <c r="Q270" s="174" t="str">
        <f t="shared" si="25"/>
        <v/>
      </c>
      <c r="R270" s="174" t="str">
        <f t="shared" si="25"/>
        <v/>
      </c>
      <c r="S270" s="174" t="str">
        <f t="shared" si="25"/>
        <v/>
      </c>
      <c r="T270" s="174" t="str">
        <f t="shared" si="25"/>
        <v/>
      </c>
      <c r="U270" s="174" t="str">
        <f t="shared" si="25"/>
        <v/>
      </c>
      <c r="V270" s="174" t="str">
        <f t="shared" si="25"/>
        <v/>
      </c>
      <c r="W270" s="174" t="str">
        <f t="shared" si="25"/>
        <v/>
      </c>
      <c r="X270" s="174" t="str">
        <f t="shared" si="25"/>
        <v/>
      </c>
      <c r="Y270" s="174" t="str">
        <f t="shared" si="25"/>
        <v/>
      </c>
      <c r="Z270" s="174" t="str">
        <f t="shared" si="25"/>
        <v/>
      </c>
      <c r="AA270" s="174" t="str">
        <f t="shared" si="25"/>
        <v/>
      </c>
      <c r="AB270" s="174" t="str">
        <f t="shared" si="25"/>
        <v/>
      </c>
      <c r="AC270" s="174" t="str">
        <f t="shared" si="25"/>
        <v/>
      </c>
      <c r="AD270" s="174" t="str">
        <f t="shared" si="25"/>
        <v/>
      </c>
      <c r="AE270" s="174" t="str">
        <f t="shared" si="25"/>
        <v/>
      </c>
      <c r="AF270" s="174" t="str">
        <f t="shared" si="25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6">IF(B238&lt;100,"",B238-1500)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 X12:AF15 X17:AF32 X34:AF43 X45:AF45">
    <cfRule type="expression" dxfId="1507" priority="390">
      <formula>B$9&gt;=20/24</formula>
    </cfRule>
    <cfRule type="expression" dxfId="1506" priority="391">
      <formula>AND(B$9&gt;=14/24,B$9&lt;20/24)</formula>
    </cfRule>
    <cfRule type="expression" dxfId="1505" priority="392">
      <formula>AND(B$9&gt;=8/24,B$9&lt;14/24)</formula>
    </cfRule>
    <cfRule type="expression" dxfId="1504" priority="393">
      <formula>B$9&lt;8/24</formula>
    </cfRule>
  </conditionalFormatting>
  <conditionalFormatting sqref="AL4:AL6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G65 X12:AF15 X17:AF32 X34:AF43 X45:AF45">
    <cfRule type="expression" dxfId="1503" priority="388">
      <formula>X12&gt;$AG12</formula>
    </cfRule>
  </conditionalFormatting>
  <conditionalFormatting sqref="A99:A109 A59:A86 A95:A97 A202:A232 A46:A57 A118:A189 A41:A42 A91:A93 A88:A89 A111:A113 A38:A39 A19:A20 A12:A15 A22:A32 A17 A34:A36">
    <cfRule type="expression" dxfId="1502" priority="387">
      <formula>$AH12=0</formula>
    </cfRule>
  </conditionalFormatting>
  <conditionalFormatting sqref="A114">
    <cfRule type="expression" dxfId="1501" priority="386">
      <formula>$AH114=0</formula>
    </cfRule>
  </conditionalFormatting>
  <conditionalFormatting sqref="AL42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500" priority="384">
      <formula>$AH45=0</formula>
    </cfRule>
  </conditionalFormatting>
  <conditionalFormatting sqref="A98">
    <cfRule type="expression" dxfId="1499" priority="383">
      <formula>$AH98=0</formula>
    </cfRule>
  </conditionalFormatting>
  <conditionalFormatting sqref="A18">
    <cfRule type="expression" dxfId="1498" priority="382">
      <formula>$AH18=0</formula>
    </cfRule>
  </conditionalFormatting>
  <conditionalFormatting sqref="A196:A201">
    <cfRule type="expression" dxfId="1497" priority="381">
      <formula>$AH196=0</formula>
    </cfRule>
  </conditionalFormatting>
  <conditionalFormatting sqref="A190:A195">
    <cfRule type="expression" dxfId="1496" priority="380">
      <formula>$AH190=0</formula>
    </cfRule>
  </conditionalFormatting>
  <conditionalFormatting sqref="A58">
    <cfRule type="expression" dxfId="1495" priority="379">
      <formula>$AH58=0</formula>
    </cfRule>
  </conditionalFormatting>
  <conditionalFormatting sqref="A94">
    <cfRule type="expression" dxfId="1494" priority="378">
      <formula>$AH94=0</formula>
    </cfRule>
  </conditionalFormatting>
  <conditionalFormatting sqref="E99:X99 AD99:AF99">
    <cfRule type="expression" dxfId="1493" priority="374">
      <formula>E$9&gt;=20/24</formula>
    </cfRule>
    <cfRule type="expression" dxfId="1492" priority="375">
      <formula>AND(E$9&gt;=14/24,E$9&lt;20/24)</formula>
    </cfRule>
    <cfRule type="expression" dxfId="1491" priority="376">
      <formula>AND(E$9&gt;=8/24,E$9&lt;14/24)</formula>
    </cfRule>
    <cfRule type="expression" dxfId="1490" priority="377">
      <formula>E$9&lt;8/24</formula>
    </cfRule>
  </conditionalFormatting>
  <conditionalFormatting sqref="AL43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89" priority="396">
      <formula>C$9&gt;=20/24</formula>
    </cfRule>
    <cfRule type="expression" dxfId="1488" priority="397">
      <formula>AND(C$9&gt;=14/24,C$9&lt;20/24)</formula>
    </cfRule>
    <cfRule type="expression" dxfId="1487" priority="398">
      <formula>AND(C$9&gt;=8/24,C$9&lt;14/24)</formula>
    </cfRule>
    <cfRule type="expression" dxfId="1486" priority="399">
      <formula>C$9&lt;8/24</formula>
    </cfRule>
  </conditionalFormatting>
  <conditionalFormatting sqref="A233">
    <cfRule type="expression" dxfId="1485" priority="400">
      <formula>$AH233=0</formula>
    </cfRule>
  </conditionalFormatting>
  <conditionalFormatting sqref="AG245">
    <cfRule type="expression" dxfId="1484" priority="401">
      <formula>B$9&gt;=20/24</formula>
    </cfRule>
    <cfRule type="expression" dxfId="1483" priority="402">
      <formula>AND(B$9&gt;=14/24,B$9&lt;20/24)</formula>
    </cfRule>
    <cfRule type="expression" dxfId="1482" priority="403">
      <formula>AND(B$9&gt;=8/24,B$9&lt;14/24)</formula>
    </cfRule>
    <cfRule type="expression" dxfId="1481" priority="404">
      <formula>B$9&lt;8/24</formula>
    </cfRule>
  </conditionalFormatting>
  <conditionalFormatting sqref="S8">
    <cfRule type="expression" dxfId="1480" priority="369">
      <formula>U$9&gt;=20/24</formula>
    </cfRule>
    <cfRule type="expression" dxfId="1479" priority="370">
      <formula>AND(U$9&gt;=14/24,U$9&lt;20/24)</formula>
    </cfRule>
    <cfRule type="expression" dxfId="1478" priority="371">
      <formula>AND(U$9&gt;=8/24,U$9&lt;14/24)</formula>
    </cfRule>
    <cfRule type="expression" dxfId="1477" priority="372">
      <formula>U$9&lt;8/24</formula>
    </cfRule>
  </conditionalFormatting>
  <conditionalFormatting sqref="AB8">
    <cfRule type="expression" dxfId="1476" priority="365">
      <formula>AD$9&gt;=20/24</formula>
    </cfRule>
    <cfRule type="expression" dxfId="1475" priority="366">
      <formula>AND(AD$9&gt;=14/24,AD$9&lt;20/24)</formula>
    </cfRule>
    <cfRule type="expression" dxfId="1474" priority="367">
      <formula>AND(AD$9&gt;=8/24,AD$9&lt;14/24)</formula>
    </cfRule>
    <cfRule type="expression" dxfId="1473" priority="368">
      <formula>AD$9&lt;8/24</formula>
    </cfRule>
  </conditionalFormatting>
  <conditionalFormatting sqref="AH245:AX245">
    <cfRule type="expression" dxfId="1472" priority="405">
      <formula>AG$9&gt;=20/24</formula>
    </cfRule>
    <cfRule type="expression" dxfId="1471" priority="406">
      <formula>AND(AG$9&gt;=14/24,AG$9&lt;20/24)</formula>
    </cfRule>
    <cfRule type="expression" dxfId="1470" priority="407">
      <formula>AND(AG$9&gt;=8/24,AG$9&lt;14/24)</formula>
    </cfRule>
    <cfRule type="expression" dxfId="1469" priority="408">
      <formula>AG$9&lt;8/24</formula>
    </cfRule>
  </conditionalFormatting>
  <conditionalFormatting sqref="T245">
    <cfRule type="expression" dxfId="1468" priority="409">
      <formula>AX$9&gt;=20/24</formula>
    </cfRule>
    <cfRule type="expression" dxfId="1467" priority="410">
      <formula>AND(AX$9&gt;=14/24,AX$9&lt;20/24)</formula>
    </cfRule>
    <cfRule type="expression" dxfId="1466" priority="411">
      <formula>AND(AX$9&gt;=8/24,AX$9&lt;14/24)</formula>
    </cfRule>
    <cfRule type="expression" dxfId="1465" priority="412">
      <formula>AX$9&lt;8/24</formula>
    </cfRule>
  </conditionalFormatting>
  <conditionalFormatting sqref="A115:A116">
    <cfRule type="expression" dxfId="1464" priority="364">
      <formula>$AH115=0</formula>
    </cfRule>
  </conditionalFormatting>
  <conditionalFormatting sqref="AB54:AE55 W56:AE57 AF54:AF57 E71:AF71 M54:Q56 N57:Q60">
    <cfRule type="expression" dxfId="1463" priority="360">
      <formula>E$9&gt;=20/24</formula>
    </cfRule>
    <cfRule type="expression" dxfId="1462" priority="361">
      <formula>AND(E$9&gt;=14/24,E$9&lt;20/24)</formula>
    </cfRule>
    <cfRule type="expression" dxfId="1461" priority="362">
      <formula>AND(E$9&gt;=8/24,E$9&lt;14/24)</formula>
    </cfRule>
    <cfRule type="expression" dxfId="1460" priority="363">
      <formula>E$9&lt;8/24</formula>
    </cfRule>
  </conditionalFormatting>
  <conditionalFormatting sqref="M53:Q53 AB53:AF53">
    <cfRule type="expression" dxfId="1459" priority="356">
      <formula>M$9&gt;=20/24</formula>
    </cfRule>
    <cfRule type="expression" dxfId="1458" priority="357">
      <formula>AND(M$9&gt;=14/24,M$9&lt;20/24)</formula>
    </cfRule>
    <cfRule type="expression" dxfId="1457" priority="358">
      <formula>AND(M$9&gt;=8/24,M$9&lt;14/24)</formula>
    </cfRule>
    <cfRule type="expression" dxfId="1456" priority="359">
      <formula>M$9&lt;8/24</formula>
    </cfRule>
  </conditionalFormatting>
  <conditionalFormatting sqref="AB53:AE55 W56:AE57 AF53:AF57 M53:Q56 N57:Q60">
    <cfRule type="expression" dxfId="1455" priority="355">
      <formula>M53&gt;$AG53</formula>
    </cfRule>
  </conditionalFormatting>
  <conditionalFormatting sqref="D86:AF86 M100:X106 E72:AE73 X74:AE74 X47:AF47 X67:AF69 AF72:AF74 X96:AF96 AD100:AF106">
    <cfRule type="expression" dxfId="1454" priority="351">
      <formula>D$9&gt;=20/24</formula>
    </cfRule>
    <cfRule type="expression" dxfId="1453" priority="352">
      <formula>AND(D$9&gt;=14/24,D$9&lt;20/24)</formula>
    </cfRule>
    <cfRule type="expression" dxfId="1452" priority="353">
      <formula>AND(D$9&gt;=8/24,D$9&lt;14/24)</formula>
    </cfRule>
    <cfRule type="expression" dxfId="1451" priority="354">
      <formula>D$9&lt;8/24</formula>
    </cfRule>
  </conditionalFormatting>
  <conditionalFormatting sqref="X47:AF47 X67:AF69">
    <cfRule type="expression" dxfId="1450" priority="350">
      <formula>X47&gt;$AG47</formula>
    </cfRule>
  </conditionalFormatting>
  <conditionalFormatting sqref="R53:AA55 R56:V60">
    <cfRule type="expression" dxfId="1449" priority="346">
      <formula>R$9&gt;=20/24</formula>
    </cfRule>
    <cfRule type="expression" dxfId="1448" priority="347">
      <formula>AND(R$9&gt;=14/24,R$9&lt;20/24)</formula>
    </cfRule>
    <cfRule type="expression" dxfId="1447" priority="348">
      <formula>AND(R$9&gt;=8/24,R$9&lt;14/24)</formula>
    </cfRule>
    <cfRule type="expression" dxfId="1446" priority="349">
      <formula>R$9&lt;8/24</formula>
    </cfRule>
  </conditionalFormatting>
  <conditionalFormatting sqref="R53:AA55 R56:V60">
    <cfRule type="expression" dxfId="1445" priority="345">
      <formula>R53&gt;$AG53</formula>
    </cfRule>
  </conditionalFormatting>
  <conditionalFormatting sqref="D88:AF88 C97:AF97">
    <cfRule type="expression" dxfId="1444" priority="341">
      <formula>C$9&gt;=20/24</formula>
    </cfRule>
    <cfRule type="expression" dxfId="1443" priority="342">
      <formula>AND(C$9&gt;=14/24,C$9&lt;20/24)</formula>
    </cfRule>
    <cfRule type="expression" dxfId="1442" priority="343">
      <formula>AND(C$9&gt;=8/24,C$9&lt;14/24)</formula>
    </cfRule>
    <cfRule type="expression" dxfId="1441" priority="344">
      <formula>C$9&lt;8/24</formula>
    </cfRule>
  </conditionalFormatting>
  <conditionalFormatting sqref="T47:W47">
    <cfRule type="expression" dxfId="1440" priority="337">
      <formula>T$9&gt;=20/24</formula>
    </cfRule>
    <cfRule type="expression" dxfId="1439" priority="338">
      <formula>AND(T$9&gt;=14/24,T$9&lt;20/24)</formula>
    </cfRule>
    <cfRule type="expression" dxfId="1438" priority="339">
      <formula>AND(T$9&gt;=8/24,T$9&lt;14/24)</formula>
    </cfRule>
    <cfRule type="expression" dxfId="1437" priority="340">
      <formula>T$9&lt;8/24</formula>
    </cfRule>
  </conditionalFormatting>
  <conditionalFormatting sqref="T47:W47">
    <cfRule type="expression" dxfId="1436" priority="336">
      <formula>T47&gt;$AG47</formula>
    </cfRule>
  </conditionalFormatting>
  <conditionalFormatting sqref="E54:L55 X46:AF46">
    <cfRule type="expression" dxfId="1435" priority="332">
      <formula>E$9&gt;=20/24</formula>
    </cfRule>
    <cfRule type="expression" dxfId="1434" priority="333">
      <formula>AND(E$9&gt;=14/24,E$9&lt;20/24)</formula>
    </cfRule>
    <cfRule type="expression" dxfId="1433" priority="334">
      <formula>AND(E$9&gt;=8/24,E$9&lt;14/24)</formula>
    </cfRule>
    <cfRule type="expression" dxfId="1432" priority="335">
      <formula>E$9&lt;8/24</formula>
    </cfRule>
  </conditionalFormatting>
  <conditionalFormatting sqref="E53:L53">
    <cfRule type="expression" dxfId="1431" priority="328">
      <formula>E$9&gt;=20/24</formula>
    </cfRule>
    <cfRule type="expression" dxfId="1430" priority="329">
      <formula>AND(E$9&gt;=14/24,E$9&lt;20/24)</formula>
    </cfRule>
    <cfRule type="expression" dxfId="1429" priority="330">
      <formula>AND(E$9&gt;=8/24,E$9&lt;14/24)</formula>
    </cfRule>
    <cfRule type="expression" dxfId="1428" priority="331">
      <formula>E$9&lt;8/24</formula>
    </cfRule>
  </conditionalFormatting>
  <conditionalFormatting sqref="E53:L55 X46:AF46">
    <cfRule type="expression" dxfId="1427" priority="327">
      <formula>E46&gt;$AG46</formula>
    </cfRule>
  </conditionalFormatting>
  <conditionalFormatting sqref="AG70 AG87 Q67:W69 E100:L106">
    <cfRule type="expression" dxfId="1426" priority="323">
      <formula>E$9&gt;=20/24</formula>
    </cfRule>
    <cfRule type="expression" dxfId="1425" priority="324">
      <formula>AND(E$9&gt;=14/24,E$9&lt;20/24)</formula>
    </cfRule>
    <cfRule type="expression" dxfId="1424" priority="325">
      <formula>AND(E$9&gt;=8/24,E$9&lt;14/24)</formula>
    </cfRule>
    <cfRule type="expression" dxfId="1423" priority="326">
      <formula>E$9&lt;8/24</formula>
    </cfRule>
  </conditionalFormatting>
  <conditionalFormatting sqref="AG48 AG66 AG70 Q67:W69">
    <cfRule type="expression" dxfId="1422" priority="322">
      <formula>Q48&gt;$AG48</formula>
    </cfRule>
  </conditionalFormatting>
  <conditionalFormatting sqref="X58:AF58">
    <cfRule type="expression" dxfId="1421" priority="318">
      <formula>X$9&gt;=20/24</formula>
    </cfRule>
    <cfRule type="expression" dxfId="1420" priority="319">
      <formula>AND(X$9&gt;=14/24,X$9&lt;20/24)</formula>
    </cfRule>
    <cfRule type="expression" dxfId="1419" priority="320">
      <formula>AND(X$9&gt;=8/24,X$9&lt;14/24)</formula>
    </cfRule>
    <cfRule type="expression" dxfId="1418" priority="321">
      <formula>X$9&lt;8/24</formula>
    </cfRule>
  </conditionalFormatting>
  <conditionalFormatting sqref="X58:AF58">
    <cfRule type="expression" dxfId="1417" priority="317">
      <formula>X58&gt;$AG58</formula>
    </cfRule>
  </conditionalFormatting>
  <conditionalFormatting sqref="A43">
    <cfRule type="expression" dxfId="1416" priority="316">
      <formula>$AH43=0</formula>
    </cfRule>
  </conditionalFormatting>
  <conditionalFormatting sqref="X91:AF95">
    <cfRule type="expression" dxfId="1415" priority="312">
      <formula>X$9&gt;=20/24</formula>
    </cfRule>
    <cfRule type="expression" dxfId="1414" priority="313">
      <formula>AND(X$9&gt;=14/24,X$9&lt;20/24)</formula>
    </cfRule>
    <cfRule type="expression" dxfId="1413" priority="314">
      <formula>AND(X$9&gt;=8/24,X$9&lt;14/24)</formula>
    </cfRule>
    <cfRule type="expression" dxfId="1412" priority="315">
      <formula>X$9&lt;8/24</formula>
    </cfRule>
  </conditionalFormatting>
  <conditionalFormatting sqref="AL45 AL41 AL22:AL32 AL38:AL39 AL7:AL15 AL17:AL20 AL34:AL3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411" priority="308">
      <formula>E$9&gt;=20/24</formula>
    </cfRule>
    <cfRule type="expression" dxfId="1410" priority="309">
      <formula>AND(E$9&gt;=14/24,E$9&lt;20/24)</formula>
    </cfRule>
    <cfRule type="expression" dxfId="1409" priority="310">
      <formula>AND(E$9&gt;=8/24,E$9&lt;14/24)</formula>
    </cfRule>
    <cfRule type="expression" dxfId="1408" priority="311">
      <formula>E$9&lt;8/24</formula>
    </cfRule>
  </conditionalFormatting>
  <conditionalFormatting sqref="E49:AF51">
    <cfRule type="expression" dxfId="1407" priority="307">
      <formula>E49&gt;$AG49</formula>
    </cfRule>
  </conditionalFormatting>
  <conditionalFormatting sqref="AG52">
    <cfRule type="expression" dxfId="1406" priority="303">
      <formula>AG$9&gt;=20/24</formula>
    </cfRule>
    <cfRule type="expression" dxfId="1405" priority="304">
      <formula>AND(AG$9&gt;=14/24,AG$9&lt;20/24)</formula>
    </cfRule>
    <cfRule type="expression" dxfId="1404" priority="305">
      <formula>AND(AG$9&gt;=8/24,AG$9&lt;14/24)</formula>
    </cfRule>
    <cfRule type="expression" dxfId="1403" priority="306">
      <formula>AG$9&lt;8/24</formula>
    </cfRule>
  </conditionalFormatting>
  <conditionalFormatting sqref="AG52">
    <cfRule type="expression" dxfId="1402" priority="302">
      <formula>AG52&gt;$AG52</formula>
    </cfRule>
  </conditionalFormatting>
  <conditionalFormatting sqref="C107:AF107">
    <cfRule type="expression" dxfId="1401" priority="298">
      <formula>C$9&gt;=20/24</formula>
    </cfRule>
    <cfRule type="expression" dxfId="1400" priority="299">
      <formula>AND(C$9&gt;=14/24,C$9&lt;20/24)</formula>
    </cfRule>
    <cfRule type="expression" dxfId="1399" priority="300">
      <formula>AND(C$9&gt;=8/24,C$9&lt;14/24)</formula>
    </cfRule>
    <cfRule type="expression" dxfId="1398" priority="301">
      <formula>C$9&lt;8/24</formula>
    </cfRule>
  </conditionalFormatting>
  <conditionalFormatting sqref="AL40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397" priority="296">
      <formula>$AH40=0</formula>
    </cfRule>
  </conditionalFormatting>
  <conditionalFormatting sqref="A90">
    <cfRule type="expression" dxfId="1396" priority="294">
      <formula>$AH90=0</formula>
    </cfRule>
  </conditionalFormatting>
  <conditionalFormatting sqref="A87">
    <cfRule type="expression" dxfId="1395" priority="295">
      <formula>$AH87=0</formula>
    </cfRule>
  </conditionalFormatting>
  <conditionalFormatting sqref="D110:AF110">
    <cfRule type="expression" dxfId="1394" priority="282">
      <formula>D$9&gt;=20/24</formula>
    </cfRule>
    <cfRule type="expression" dxfId="1393" priority="283">
      <formula>AND(D$9&gt;=14/24,D$9&lt;20/24)</formula>
    </cfRule>
    <cfRule type="expression" dxfId="1392" priority="284">
      <formula>AND(D$9&gt;=8/24,D$9&lt;14/24)</formula>
    </cfRule>
    <cfRule type="expression" dxfId="1391" priority="285">
      <formula>D$9&lt;8/24</formula>
    </cfRule>
  </conditionalFormatting>
  <conditionalFormatting sqref="A110">
    <cfRule type="expression" dxfId="1390" priority="281">
      <formula>$AH110=0</formula>
    </cfRule>
  </conditionalFormatting>
  <conditionalFormatting sqref="A21">
    <cfRule type="expression" dxfId="1389" priority="279">
      <formula>$AH21=0</formula>
    </cfRule>
  </conditionalFormatting>
  <conditionalFormatting sqref="AL2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88" priority="277">
      <formula>$AH37=0</formula>
    </cfRule>
  </conditionalFormatting>
  <conditionalFormatting sqref="AL37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387" priority="273">
      <formula>Y$9&gt;=20/24</formula>
    </cfRule>
    <cfRule type="expression" dxfId="1386" priority="274">
      <formula>AND(Y$9&gt;=14/24,Y$9&lt;20/24)</formula>
    </cfRule>
    <cfRule type="expression" dxfId="1385" priority="275">
      <formula>AND(Y$9&gt;=8/24,Y$9&lt;14/24)</formula>
    </cfRule>
    <cfRule type="expression" dxfId="1384" priority="276">
      <formula>Y$9&lt;8/24</formula>
    </cfRule>
  </conditionalFormatting>
  <conditionalFormatting sqref="Y100:AC106">
    <cfRule type="expression" dxfId="1383" priority="269">
      <formula>Y$9&gt;=20/24</formula>
    </cfRule>
    <cfRule type="expression" dxfId="1382" priority="270">
      <formula>AND(Y$9&gt;=14/24,Y$9&lt;20/24)</formula>
    </cfRule>
    <cfRule type="expression" dxfId="1381" priority="271">
      <formula>AND(Y$9&gt;=8/24,Y$9&lt;14/24)</formula>
    </cfRule>
    <cfRule type="expression" dxfId="1380" priority="272">
      <formula>Y$9&lt;8/24</formula>
    </cfRule>
  </conditionalFormatting>
  <conditionalFormatting sqref="C109 C111:C116 N34:W43 N17:W32 F17:M18">
    <cfRule type="expression" dxfId="1379" priority="265">
      <formula>C$9&gt;=20/24</formula>
    </cfRule>
    <cfRule type="expression" dxfId="1378" priority="266">
      <formula>AND(C$9&gt;=14/24,C$9&lt;20/24)</formula>
    </cfRule>
    <cfRule type="expression" dxfId="1377" priority="267">
      <formula>AND(C$9&gt;=8/24,C$9&lt;14/24)</formula>
    </cfRule>
    <cfRule type="expression" dxfId="1376" priority="268">
      <formula>C$9&lt;8/24</formula>
    </cfRule>
  </conditionalFormatting>
  <conditionalFormatting sqref="C47:S47">
    <cfRule type="expression" dxfId="1375" priority="261">
      <formula>C$9&gt;=20/24</formula>
    </cfRule>
    <cfRule type="expression" dxfId="1374" priority="262">
      <formula>AND(C$9&gt;=14/24,C$9&lt;20/24)</formula>
    </cfRule>
    <cfRule type="expression" dxfId="1373" priority="263">
      <formula>AND(C$9&gt;=8/24,C$9&lt;14/24)</formula>
    </cfRule>
    <cfRule type="expression" dxfId="1372" priority="264">
      <formula>C$9&lt;8/24</formula>
    </cfRule>
  </conditionalFormatting>
  <conditionalFormatting sqref="N34:W43 N17:W32 F17:M18 C47:S47">
    <cfRule type="expression" dxfId="1371" priority="260">
      <formula>C17&gt;$AG17</formula>
    </cfRule>
  </conditionalFormatting>
  <conditionalFormatting sqref="C99:D99">
    <cfRule type="expression" dxfId="1370" priority="256">
      <formula>C$9&gt;=20/24</formula>
    </cfRule>
    <cfRule type="expression" dxfId="1369" priority="257">
      <formula>AND(C$9&gt;=14/24,C$9&lt;20/24)</formula>
    </cfRule>
    <cfRule type="expression" dxfId="1368" priority="258">
      <formula>AND(C$9&gt;=8/24,C$9&lt;14/24)</formula>
    </cfRule>
    <cfRule type="expression" dxfId="1367" priority="259">
      <formula>C$9&lt;8/24</formula>
    </cfRule>
  </conditionalFormatting>
  <conditionalFormatting sqref="C86 C96:W96 X75:AF76 C83:AF85 E74:W76 C100:D106 E67:P69">
    <cfRule type="expression" dxfId="1366" priority="243">
      <formula>C$9&gt;=20/24</formula>
    </cfRule>
    <cfRule type="expression" dxfId="1365" priority="244">
      <formula>AND(C$9&gt;=14/24,C$9&lt;20/24)</formula>
    </cfRule>
    <cfRule type="expression" dxfId="1364" priority="245">
      <formula>AND(C$9&gt;=8/24,C$9&lt;14/24)</formula>
    </cfRule>
    <cfRule type="expression" dxfId="1363" priority="246">
      <formula>C$9&lt;8/24</formula>
    </cfRule>
  </conditionalFormatting>
  <conditionalFormatting sqref="E56:L57 M57 E67:P69">
    <cfRule type="expression" dxfId="1362" priority="242">
      <formula>E56&gt;$AG56</formula>
    </cfRule>
  </conditionalFormatting>
  <conditionalFormatting sqref="W58 E58:M58">
    <cfRule type="expression" dxfId="1361" priority="238">
      <formula>E$9&gt;=20/24</formula>
    </cfRule>
    <cfRule type="expression" dxfId="1360" priority="239">
      <formula>AND(E$9&gt;=14/24,E$9&lt;20/24)</formula>
    </cfRule>
    <cfRule type="expression" dxfId="1359" priority="240">
      <formula>AND(E$9&gt;=8/24,E$9&lt;14/24)</formula>
    </cfRule>
    <cfRule type="expression" dxfId="1358" priority="241">
      <formula>E$9&lt;8/24</formula>
    </cfRule>
  </conditionalFormatting>
  <conditionalFormatting sqref="W58 E58:M58">
    <cfRule type="expression" dxfId="1357" priority="237">
      <formula>E58&gt;$AG58</formula>
    </cfRule>
  </conditionalFormatting>
  <conditionalFormatting sqref="B54:D57 B71:D71">
    <cfRule type="expression" dxfId="1356" priority="156">
      <formula>B$9&gt;=20/24</formula>
    </cfRule>
    <cfRule type="expression" dxfId="1355" priority="157">
      <formula>AND(B$9&gt;=14/24,B$9&lt;20/24)</formula>
    </cfRule>
    <cfRule type="expression" dxfId="1354" priority="158">
      <formula>AND(B$9&gt;=8/24,B$9&lt;14/24)</formula>
    </cfRule>
    <cfRule type="expression" dxfId="1353" priority="159">
      <formula>B$9&lt;8/24</formula>
    </cfRule>
  </conditionalFormatting>
  <conditionalFormatting sqref="N46:W46">
    <cfRule type="expression" dxfId="1352" priority="233">
      <formula>N$9&gt;=20/24</formula>
    </cfRule>
    <cfRule type="expression" dxfId="1351" priority="234">
      <formula>AND(N$9&gt;=14/24,N$9&lt;20/24)</formula>
    </cfRule>
    <cfRule type="expression" dxfId="1350" priority="235">
      <formula>AND(N$9&gt;=8/24,N$9&lt;14/24)</formula>
    </cfRule>
    <cfRule type="expression" dxfId="1349" priority="236">
      <formula>N$9&lt;8/24</formula>
    </cfRule>
  </conditionalFormatting>
  <conditionalFormatting sqref="N46:W46">
    <cfRule type="expression" dxfId="1348" priority="232">
      <formula>N46&gt;$AG46</formula>
    </cfRule>
  </conditionalFormatting>
  <conditionalFormatting sqref="C70:AF70 C87:AF87 C89:AF89 C98:AF98">
    <cfRule type="expression" dxfId="1347" priority="228">
      <formula>C$9&gt;=20/24</formula>
    </cfRule>
    <cfRule type="expression" dxfId="1346" priority="229">
      <formula>AND(C$9&gt;=14/24,C$9&lt;20/24)</formula>
    </cfRule>
    <cfRule type="expression" dxfId="1345" priority="230">
      <formula>AND(C$9&gt;=8/24,C$9&lt;14/24)</formula>
    </cfRule>
    <cfRule type="expression" dxfId="1344" priority="231">
      <formula>C$9&lt;8/24</formula>
    </cfRule>
  </conditionalFormatting>
  <conditionalFormatting sqref="C48:AF48 C65:AF66 C70:AF70">
    <cfRule type="expression" dxfId="1343" priority="227">
      <formula>C48&gt;$AG48</formula>
    </cfRule>
  </conditionalFormatting>
  <conditionalFormatting sqref="C82:AF82">
    <cfRule type="expression" dxfId="1342" priority="223">
      <formula>C$9&gt;=20/24</formula>
    </cfRule>
    <cfRule type="expression" dxfId="1341" priority="224">
      <formula>AND(C$9&gt;=14/24,C$9&lt;20/24)</formula>
    </cfRule>
    <cfRule type="expression" dxfId="1340" priority="225">
      <formula>AND(C$9&gt;=8/24,C$9&lt;14/24)</formula>
    </cfRule>
    <cfRule type="expression" dxfId="1339" priority="226">
      <formula>C$9&lt;8/24</formula>
    </cfRule>
  </conditionalFormatting>
  <conditionalFormatting sqref="C91:W95">
    <cfRule type="expression" dxfId="1338" priority="219">
      <formula>C$9&gt;=20/24</formula>
    </cfRule>
    <cfRule type="expression" dxfId="1337" priority="220">
      <formula>AND(C$9&gt;=14/24,C$9&lt;20/24)</formula>
    </cfRule>
    <cfRule type="expression" dxfId="1336" priority="221">
      <formula>AND(C$9&gt;=8/24,C$9&lt;14/24)</formula>
    </cfRule>
    <cfRule type="expression" dxfId="1335" priority="222">
      <formula>C$9&lt;8/24</formula>
    </cfRule>
  </conditionalFormatting>
  <conditionalFormatting sqref="C52:AF52">
    <cfRule type="expression" dxfId="1334" priority="210">
      <formula>C$9&gt;=20/24</formula>
    </cfRule>
    <cfRule type="expression" dxfId="1333" priority="211">
      <formula>AND(C$9&gt;=14/24,C$9&lt;20/24)</formula>
    </cfRule>
    <cfRule type="expression" dxfId="1332" priority="212">
      <formula>AND(C$9&gt;=8/24,C$9&lt;14/24)</formula>
    </cfRule>
    <cfRule type="expression" dxfId="1331" priority="213">
      <formula>C$9&lt;8/24</formula>
    </cfRule>
  </conditionalFormatting>
  <conditionalFormatting sqref="C52:AF52">
    <cfRule type="expression" dxfId="1330" priority="209">
      <formula>C52&gt;$AG52</formula>
    </cfRule>
  </conditionalFormatting>
  <conditionalFormatting sqref="B49:D51">
    <cfRule type="expression" dxfId="1329" priority="124">
      <formula>B$9&gt;=20/24</formula>
    </cfRule>
    <cfRule type="expression" dxfId="1328" priority="125">
      <formula>AND(B$9&gt;=14/24,B$9&lt;20/24)</formula>
    </cfRule>
    <cfRule type="expression" dxfId="1327" priority="126">
      <formula>AND(B$9&gt;=8/24,B$9&lt;14/24)</formula>
    </cfRule>
    <cfRule type="expression" dxfId="1326" priority="127">
      <formula>B$9&lt;8/24</formula>
    </cfRule>
  </conditionalFormatting>
  <conditionalFormatting sqref="C110">
    <cfRule type="expression" dxfId="1325" priority="201">
      <formula>C$9&gt;=20/24</formula>
    </cfRule>
    <cfRule type="expression" dxfId="1324" priority="202">
      <formula>AND(C$9&gt;=14/24,C$9&lt;20/24)</formula>
    </cfRule>
    <cfRule type="expression" dxfId="1323" priority="203">
      <formula>AND(C$9&gt;=8/24,C$9&lt;14/24)</formula>
    </cfRule>
    <cfRule type="expression" dxfId="1322" priority="204">
      <formula>C$9&lt;8/24</formula>
    </cfRule>
  </conditionalFormatting>
  <conditionalFormatting sqref="W59:AF60 N61:AF64 E59:M64">
    <cfRule type="expression" dxfId="1321" priority="197">
      <formula>E$9&gt;=20/24</formula>
    </cfRule>
    <cfRule type="expression" dxfId="1320" priority="198">
      <formula>AND(E$9&gt;=14/24,E$9&lt;20/24)</formula>
    </cfRule>
    <cfRule type="expression" dxfId="1319" priority="199">
      <formula>AND(E$9&gt;=8/24,E$9&lt;14/24)</formula>
    </cfRule>
    <cfRule type="expression" dxfId="1318" priority="200">
      <formula>E$9&lt;8/24</formula>
    </cfRule>
  </conditionalFormatting>
  <conditionalFormatting sqref="W59:AF60 N61:AF64 E59:M64">
    <cfRule type="expression" dxfId="1317" priority="196">
      <formula>E59&gt;$AG59</formula>
    </cfRule>
  </conditionalFormatting>
  <conditionalFormatting sqref="N45:W45 F13:W15">
    <cfRule type="expression" dxfId="1316" priority="195">
      <formula>F13&gt;$AG13</formula>
    </cfRule>
  </conditionalFormatting>
  <conditionalFormatting sqref="E12:W12">
    <cfRule type="expression" dxfId="1315" priority="191">
      <formula>E$9&gt;=20/24</formula>
    </cfRule>
    <cfRule type="expression" dxfId="1314" priority="192">
      <formula>AND(E$9&gt;=14/24,E$9&lt;20/24)</formula>
    </cfRule>
    <cfRule type="expression" dxfId="1313" priority="193">
      <formula>AND(E$9&gt;=8/24,E$9&lt;14/24)</formula>
    </cfRule>
    <cfRule type="expression" dxfId="1312" priority="194">
      <formula>E$9&lt;8/24</formula>
    </cfRule>
  </conditionalFormatting>
  <conditionalFormatting sqref="E12:W12">
    <cfRule type="expression" dxfId="1311" priority="190">
      <formula>E12&gt;$AG12</formula>
    </cfRule>
  </conditionalFormatting>
  <conditionalFormatting sqref="F13:W15">
    <cfRule type="expression" dxfId="1310" priority="186">
      <formula>F$9&gt;=20/24</formula>
    </cfRule>
    <cfRule type="expression" dxfId="1309" priority="187">
      <formula>AND(F$9&gt;=14/24,F$9&lt;20/24)</formula>
    </cfRule>
    <cfRule type="expression" dxfId="1308" priority="188">
      <formula>AND(F$9&gt;=8/24,F$9&lt;14/24)</formula>
    </cfRule>
    <cfRule type="expression" dxfId="1307" priority="189">
      <formula>F$9&lt;8/24</formula>
    </cfRule>
  </conditionalFormatting>
  <conditionalFormatting sqref="N45:W45">
    <cfRule type="expression" dxfId="1306" priority="182">
      <formula>N$9&gt;=20/24</formula>
    </cfRule>
    <cfRule type="expression" dxfId="1305" priority="183">
      <formula>AND(N$9&gt;=14/24,N$9&lt;20/24)</formula>
    </cfRule>
    <cfRule type="expression" dxfId="1304" priority="184">
      <formula>AND(N$9&gt;=8/24,N$9&lt;14/24)</formula>
    </cfRule>
    <cfRule type="expression" dxfId="1303" priority="185">
      <formula>N$9&lt;8/24</formula>
    </cfRule>
  </conditionalFormatting>
  <conditionalFormatting sqref="E77:AF81">
    <cfRule type="expression" dxfId="1302" priority="178">
      <formula>E$9&gt;=20/24</formula>
    </cfRule>
    <cfRule type="expression" dxfId="1301" priority="179">
      <formula>AND(E$9&gt;=14/24,E$9&lt;20/24)</formula>
    </cfRule>
    <cfRule type="expression" dxfId="1300" priority="180">
      <formula>AND(E$9&gt;=8/24,E$9&lt;14/24)</formula>
    </cfRule>
    <cfRule type="expression" dxfId="1299" priority="181">
      <formula>E$9&lt;8/24</formula>
    </cfRule>
  </conditionalFormatting>
  <conditionalFormatting sqref="AL78:AN78 AL84:AN84 AN79:AN80">
    <cfRule type="expression" dxfId="1298" priority="174">
      <formula>AL$9&gt;=20/24</formula>
    </cfRule>
    <cfRule type="expression" dxfId="1297" priority="175">
      <formula>AND(AL$9&gt;=14/24,AL$9&lt;20/24)</formula>
    </cfRule>
    <cfRule type="expression" dxfId="1296" priority="176">
      <formula>AND(AL$9&gt;=8/24,AL$9&lt;14/24)</formula>
    </cfRule>
    <cfRule type="expression" dxfId="1295" priority="177">
      <formula>AL$9&lt;8/24</formula>
    </cfRule>
  </conditionalFormatting>
  <conditionalFormatting sqref="AN81:AN82">
    <cfRule type="expression" dxfId="1294" priority="170">
      <formula>AN$9&gt;=20/24</formula>
    </cfRule>
    <cfRule type="expression" dxfId="1293" priority="171">
      <formula>AND(AN$9&gt;=14/24,AN$9&lt;20/24)</formula>
    </cfRule>
    <cfRule type="expression" dxfId="1292" priority="172">
      <formula>AND(AN$9&gt;=8/24,AN$9&lt;14/24)</formula>
    </cfRule>
    <cfRule type="expression" dxfId="1291" priority="173">
      <formula>AN$9&lt;8/24</formula>
    </cfRule>
  </conditionalFormatting>
  <conditionalFormatting sqref="AL79:AM83">
    <cfRule type="expression" dxfId="1290" priority="414">
      <formula>AJ$9&gt;=20/24</formula>
    </cfRule>
    <cfRule type="expression" dxfId="1289" priority="415">
      <formula>AND(AJ$9&gt;=14/24,AJ$9&lt;20/24)</formula>
    </cfRule>
    <cfRule type="expression" dxfId="1288" priority="416">
      <formula>AND(AJ$9&gt;=8/24,AJ$9&lt;14/24)</formula>
    </cfRule>
    <cfRule type="expression" dxfId="1287" priority="417">
      <formula>AJ$9&lt;8/24</formula>
    </cfRule>
  </conditionalFormatting>
  <conditionalFormatting sqref="A117">
    <cfRule type="expression" dxfId="1286" priority="169">
      <formula>$AH117=0</formula>
    </cfRule>
  </conditionalFormatting>
  <conditionalFormatting sqref="B109 B111:B116 B12:D15 E13:E15 B17:E32 F19:M32 B34:M43 B45:M45">
    <cfRule type="expression" dxfId="1285" priority="165">
      <formula>B$9&gt;=20/24</formula>
    </cfRule>
    <cfRule type="expression" dxfId="1284" priority="166">
      <formula>AND(B$9&gt;=14/24,B$9&lt;20/24)</formula>
    </cfRule>
    <cfRule type="expression" dxfId="1283" priority="167">
      <formula>AND(B$9&gt;=8/24,B$9&lt;14/24)</formula>
    </cfRule>
    <cfRule type="expression" dxfId="1282" priority="168">
      <formula>B$9&lt;8/24</formula>
    </cfRule>
  </conditionalFormatting>
  <conditionalFormatting sqref="B12:D15 E13:E15 B17:E32 F19:M32 B34:M43 B45:M45">
    <cfRule type="expression" dxfId="1281" priority="164">
      <formula>B12&gt;$AG12</formula>
    </cfRule>
  </conditionalFormatting>
  <conditionalFormatting sqref="B99">
    <cfRule type="expression" dxfId="1280" priority="160">
      <formula>B$9&gt;=20/24</formula>
    </cfRule>
    <cfRule type="expression" dxfId="1279" priority="161">
      <formula>AND(B$9&gt;=14/24,B$9&lt;20/24)</formula>
    </cfRule>
    <cfRule type="expression" dxfId="1278" priority="162">
      <formula>AND(B$9&gt;=8/24,B$9&lt;14/24)</formula>
    </cfRule>
    <cfRule type="expression" dxfId="1277" priority="163">
      <formula>B$9&lt;8/24</formula>
    </cfRule>
  </conditionalFormatting>
  <conditionalFormatting sqref="B53:D53">
    <cfRule type="expression" dxfId="1276" priority="152">
      <formula>B$9&gt;=20/24</formula>
    </cfRule>
    <cfRule type="expression" dxfId="1275" priority="153">
      <formula>AND(B$9&gt;=14/24,B$9&lt;20/24)</formula>
    </cfRule>
    <cfRule type="expression" dxfId="1274" priority="154">
      <formula>AND(B$9&gt;=8/24,B$9&lt;14/24)</formula>
    </cfRule>
    <cfRule type="expression" dxfId="1273" priority="155">
      <formula>B$9&lt;8/24</formula>
    </cfRule>
  </conditionalFormatting>
  <conditionalFormatting sqref="B53:D57">
    <cfRule type="expression" dxfId="1272" priority="151">
      <formula>B53&gt;$AG53</formula>
    </cfRule>
  </conditionalFormatting>
  <conditionalFormatting sqref="B96 B100:B106 B86 B47 B67:D69 B72:D74">
    <cfRule type="expression" dxfId="1271" priority="147">
      <formula>B$9&gt;=20/24</formula>
    </cfRule>
    <cfRule type="expression" dxfId="1270" priority="148">
      <formula>AND(B$9&gt;=14/24,B$9&lt;20/24)</formula>
    </cfRule>
    <cfRule type="expression" dxfId="1269" priority="149">
      <formula>AND(B$9&gt;=8/24,B$9&lt;14/24)</formula>
    </cfRule>
    <cfRule type="expression" dxfId="1268" priority="150">
      <formula>B$9&lt;8/24</formula>
    </cfRule>
  </conditionalFormatting>
  <conditionalFormatting sqref="B47 B67:D69">
    <cfRule type="expression" dxfId="1267" priority="146">
      <formula>B47&gt;$AG47</formula>
    </cfRule>
  </conditionalFormatting>
  <conditionalFormatting sqref="B97 B88:C88">
    <cfRule type="expression" dxfId="1266" priority="142">
      <formula>B$9&gt;=20/24</formula>
    </cfRule>
    <cfRule type="expression" dxfId="1265" priority="143">
      <formula>AND(B$9&gt;=14/24,B$9&lt;20/24)</formula>
    </cfRule>
    <cfRule type="expression" dxfId="1264" priority="144">
      <formula>AND(B$9&gt;=8/24,B$9&lt;14/24)</formula>
    </cfRule>
    <cfRule type="expression" dxfId="1263" priority="145">
      <formula>B$9&lt;8/24</formula>
    </cfRule>
  </conditionalFormatting>
  <conditionalFormatting sqref="B46:M46">
    <cfRule type="expression" dxfId="1262" priority="138">
      <formula>B$9&gt;=20/24</formula>
    </cfRule>
    <cfRule type="expression" dxfId="1261" priority="139">
      <formula>AND(B$9&gt;=14/24,B$9&lt;20/24)</formula>
    </cfRule>
    <cfRule type="expression" dxfId="1260" priority="140">
      <formula>AND(B$9&gt;=8/24,B$9&lt;14/24)</formula>
    </cfRule>
    <cfRule type="expression" dxfId="1259" priority="141">
      <formula>B$9&lt;8/24</formula>
    </cfRule>
  </conditionalFormatting>
  <conditionalFormatting sqref="B46:M46">
    <cfRule type="expression" dxfId="1258" priority="137">
      <formula>B46&gt;$AG46</formula>
    </cfRule>
  </conditionalFormatting>
  <conditionalFormatting sqref="B58:D58">
    <cfRule type="expression" dxfId="1257" priority="133">
      <formula>B$9&gt;=20/24</formula>
    </cfRule>
    <cfRule type="expression" dxfId="1256" priority="134">
      <formula>AND(B$9&gt;=14/24,B$9&lt;20/24)</formula>
    </cfRule>
    <cfRule type="expression" dxfId="1255" priority="135">
      <formula>AND(B$9&gt;=8/24,B$9&lt;14/24)</formula>
    </cfRule>
    <cfRule type="expression" dxfId="1254" priority="136">
      <formula>B$9&lt;8/24</formula>
    </cfRule>
  </conditionalFormatting>
  <conditionalFormatting sqref="B58:D58">
    <cfRule type="expression" dxfId="1253" priority="132">
      <formula>B58&gt;$AG58</formula>
    </cfRule>
  </conditionalFormatting>
  <conditionalFormatting sqref="B91:B95">
    <cfRule type="expression" dxfId="1252" priority="128">
      <formula>B$9&gt;=20/24</formula>
    </cfRule>
    <cfRule type="expression" dxfId="1251" priority="129">
      <formula>AND(B$9&gt;=14/24,B$9&lt;20/24)</formula>
    </cfRule>
    <cfRule type="expression" dxfId="1250" priority="130">
      <formula>AND(B$9&gt;=8/24,B$9&lt;14/24)</formula>
    </cfRule>
    <cfRule type="expression" dxfId="1249" priority="131">
      <formula>B$9&lt;8/24</formula>
    </cfRule>
  </conditionalFormatting>
  <conditionalFormatting sqref="B49:D51">
    <cfRule type="expression" dxfId="1248" priority="123">
      <formula>B49&gt;$AG49</formula>
    </cfRule>
  </conditionalFormatting>
  <conditionalFormatting sqref="B107">
    <cfRule type="expression" dxfId="1247" priority="119">
      <formula>B$9&gt;=20/24</formula>
    </cfRule>
    <cfRule type="expression" dxfId="1246" priority="120">
      <formula>AND(B$9&gt;=14/24,B$9&lt;20/24)</formula>
    </cfRule>
    <cfRule type="expression" dxfId="1245" priority="121">
      <formula>AND(B$9&gt;=8/24,B$9&lt;14/24)</formula>
    </cfRule>
    <cfRule type="expression" dxfId="1244" priority="122">
      <formula>B$9&lt;8/24</formula>
    </cfRule>
  </conditionalFormatting>
  <conditionalFormatting sqref="B110">
    <cfRule type="expression" dxfId="1243" priority="111">
      <formula>B$9&gt;=20/24</formula>
    </cfRule>
    <cfRule type="expression" dxfId="1242" priority="112">
      <formula>AND(B$9&gt;=14/24,B$9&lt;20/24)</formula>
    </cfRule>
    <cfRule type="expression" dxfId="1241" priority="113">
      <formula>AND(B$9&gt;=8/24,B$9&lt;14/24)</formula>
    </cfRule>
    <cfRule type="expression" dxfId="1240" priority="114">
      <formula>B$9&lt;8/24</formula>
    </cfRule>
  </conditionalFormatting>
  <conditionalFormatting sqref="B83:B85 B75:D76">
    <cfRule type="expression" dxfId="1239" priority="107">
      <formula>B$9&gt;=20/24</formula>
    </cfRule>
    <cfRule type="expression" dxfId="1238" priority="108">
      <formula>AND(B$9&gt;=14/24,B$9&lt;20/24)</formula>
    </cfRule>
    <cfRule type="expression" dxfId="1237" priority="109">
      <formula>AND(B$9&gt;=8/24,B$9&lt;14/24)</formula>
    </cfRule>
    <cfRule type="expression" dxfId="1236" priority="110">
      <formula>B$9&lt;8/24</formula>
    </cfRule>
  </conditionalFormatting>
  <conditionalFormatting sqref="B89 B98 B70 B87">
    <cfRule type="expression" dxfId="1235" priority="103">
      <formula>B$9&gt;=20/24</formula>
    </cfRule>
    <cfRule type="expression" dxfId="1234" priority="104">
      <formula>AND(B$9&gt;=14/24,B$9&lt;20/24)</formula>
    </cfRule>
    <cfRule type="expression" dxfId="1233" priority="105">
      <formula>AND(B$9&gt;=8/24,B$9&lt;14/24)</formula>
    </cfRule>
    <cfRule type="expression" dxfId="1232" priority="106">
      <formula>B$9&lt;8/24</formula>
    </cfRule>
  </conditionalFormatting>
  <conditionalFormatting sqref="B48 B65:B66 B70">
    <cfRule type="expression" dxfId="1231" priority="102">
      <formula>B48&gt;$AG48</formula>
    </cfRule>
  </conditionalFormatting>
  <conditionalFormatting sqref="B82">
    <cfRule type="expression" dxfId="1230" priority="98">
      <formula>B$9&gt;=20/24</formula>
    </cfRule>
    <cfRule type="expression" dxfId="1229" priority="99">
      <formula>AND(B$9&gt;=14/24,B$9&lt;20/24)</formula>
    </cfRule>
    <cfRule type="expression" dxfId="1228" priority="100">
      <formula>AND(B$9&gt;=8/24,B$9&lt;14/24)</formula>
    </cfRule>
    <cfRule type="expression" dxfId="1227" priority="101">
      <formula>B$9&lt;8/24</formula>
    </cfRule>
  </conditionalFormatting>
  <conditionalFormatting sqref="B52">
    <cfRule type="expression" dxfId="1226" priority="94">
      <formula>B$9&gt;=20/24</formula>
    </cfRule>
    <cfRule type="expression" dxfId="1225" priority="95">
      <formula>AND(B$9&gt;=14/24,B$9&lt;20/24)</formula>
    </cfRule>
    <cfRule type="expression" dxfId="1224" priority="96">
      <formula>AND(B$9&gt;=8/24,B$9&lt;14/24)</formula>
    </cfRule>
    <cfRule type="expression" dxfId="1223" priority="97">
      <formula>B$9&lt;8/24</formula>
    </cfRule>
  </conditionalFormatting>
  <conditionalFormatting sqref="B52">
    <cfRule type="expression" dxfId="1222" priority="93">
      <formula>B52&gt;$AG52</formula>
    </cfRule>
  </conditionalFormatting>
  <conditionalFormatting sqref="B59:D64">
    <cfRule type="expression" dxfId="1221" priority="85">
      <formula>B$9&gt;=20/24</formula>
    </cfRule>
    <cfRule type="expression" dxfId="1220" priority="86">
      <formula>AND(B$9&gt;=14/24,B$9&lt;20/24)</formula>
    </cfRule>
    <cfRule type="expression" dxfId="1219" priority="87">
      <formula>AND(B$9&gt;=8/24,B$9&lt;14/24)</formula>
    </cfRule>
    <cfRule type="expression" dxfId="1218" priority="88">
      <formula>B$9&lt;8/24</formula>
    </cfRule>
  </conditionalFormatting>
  <conditionalFormatting sqref="B59:D64">
    <cfRule type="expression" dxfId="1217" priority="84">
      <formula>B59&gt;$AG59</formula>
    </cfRule>
  </conditionalFormatting>
  <conditionalFormatting sqref="B77:D81">
    <cfRule type="expression" dxfId="1216" priority="80">
      <formula>B$9&gt;=20/24</formula>
    </cfRule>
    <cfRule type="expression" dxfId="1215" priority="81">
      <formula>AND(B$9&gt;=14/24,B$9&lt;20/24)</formula>
    </cfRule>
    <cfRule type="expression" dxfId="1214" priority="82">
      <formula>AND(B$9&gt;=8/24,B$9&lt;14/24)</formula>
    </cfRule>
    <cfRule type="expression" dxfId="1213" priority="83">
      <formula>B$9&lt;8/24</formula>
    </cfRule>
  </conditionalFormatting>
  <conditionalFormatting sqref="X11:AF11">
    <cfRule type="expression" dxfId="1212" priority="76">
      <formula>X$9&gt;=20/24</formula>
    </cfRule>
    <cfRule type="expression" dxfId="1211" priority="77">
      <formula>AND(X$9&gt;=14/24,X$9&lt;20/24)</formula>
    </cfRule>
    <cfRule type="expression" dxfId="1210" priority="78">
      <formula>AND(X$9&gt;=8/24,X$9&lt;14/24)</formula>
    </cfRule>
    <cfRule type="expression" dxfId="1209" priority="79">
      <formula>X$9&lt;8/24</formula>
    </cfRule>
  </conditionalFormatting>
  <conditionalFormatting sqref="X11:AF11">
    <cfRule type="expression" dxfId="1208" priority="75">
      <formula>X11&gt;$AG11</formula>
    </cfRule>
  </conditionalFormatting>
  <conditionalFormatting sqref="A11">
    <cfRule type="expression" dxfId="1207" priority="74">
      <formula>$AH11=0</formula>
    </cfRule>
  </conditionalFormatting>
  <conditionalFormatting sqref="E11:W11">
    <cfRule type="expression" dxfId="1206" priority="70">
      <formula>E$9&gt;=20/24</formula>
    </cfRule>
    <cfRule type="expression" dxfId="1205" priority="71">
      <formula>AND(E$9&gt;=14/24,E$9&lt;20/24)</formula>
    </cfRule>
    <cfRule type="expression" dxfId="1204" priority="72">
      <formula>AND(E$9&gt;=8/24,E$9&lt;14/24)</formula>
    </cfRule>
    <cfRule type="expression" dxfId="1203" priority="73">
      <formula>E$9&lt;8/24</formula>
    </cfRule>
  </conditionalFormatting>
  <conditionalFormatting sqref="E11:W11">
    <cfRule type="expression" dxfId="1202" priority="69">
      <formula>E11&gt;$AG11</formula>
    </cfRule>
  </conditionalFormatting>
  <conditionalFormatting sqref="B11:D11">
    <cfRule type="expression" dxfId="1201" priority="65">
      <formula>B$9&gt;=20/24</formula>
    </cfRule>
    <cfRule type="expression" dxfId="1200" priority="66">
      <formula>AND(B$9&gt;=14/24,B$9&lt;20/24)</formula>
    </cfRule>
    <cfRule type="expression" dxfId="1199" priority="67">
      <formula>AND(B$9&gt;=8/24,B$9&lt;14/24)</formula>
    </cfRule>
    <cfRule type="expression" dxfId="1198" priority="68">
      <formula>B$9&lt;8/24</formula>
    </cfRule>
  </conditionalFormatting>
  <conditionalFormatting sqref="B11:D11">
    <cfRule type="expression" dxfId="1197" priority="64">
      <formula>B11&gt;$AG11</formula>
    </cfRule>
  </conditionalFormatting>
  <conditionalFormatting sqref="X16:AF16">
    <cfRule type="expression" dxfId="1196" priority="59">
      <formula>X$9&gt;=20/24</formula>
    </cfRule>
    <cfRule type="expression" dxfId="1195" priority="60">
      <formula>AND(X$9&gt;=14/24,X$9&lt;20/24)</formula>
    </cfRule>
    <cfRule type="expression" dxfId="1194" priority="61">
      <formula>AND(X$9&gt;=8/24,X$9&lt;14/24)</formula>
    </cfRule>
    <cfRule type="expression" dxfId="1193" priority="62">
      <formula>X$9&lt;8/24</formula>
    </cfRule>
  </conditionalFormatting>
  <conditionalFormatting sqref="X16:AF16">
    <cfRule type="expression" dxfId="1192" priority="58">
      <formula>X16&gt;$AG16</formula>
    </cfRule>
  </conditionalFormatting>
  <conditionalFormatting sqref="A16">
    <cfRule type="expression" dxfId="1191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F16:W16">
    <cfRule type="expression" dxfId="1190" priority="53">
      <formula>F$9&gt;=20/24</formula>
    </cfRule>
    <cfRule type="expression" dxfId="1189" priority="54">
      <formula>AND(F$9&gt;=14/24,F$9&lt;20/24)</formula>
    </cfRule>
    <cfRule type="expression" dxfId="1188" priority="55">
      <formula>AND(F$9&gt;=8/24,F$9&lt;14/24)</formula>
    </cfRule>
    <cfRule type="expression" dxfId="1187" priority="56">
      <formula>F$9&lt;8/24</formula>
    </cfRule>
  </conditionalFormatting>
  <conditionalFormatting sqref="F16:W16">
    <cfRule type="expression" dxfId="1186" priority="52">
      <formula>F16&gt;$AG16</formula>
    </cfRule>
  </conditionalFormatting>
  <conditionalFormatting sqref="B16:E16">
    <cfRule type="expression" dxfId="1185" priority="48">
      <formula>B$9&gt;=20/24</formula>
    </cfRule>
    <cfRule type="expression" dxfId="1184" priority="49">
      <formula>AND(B$9&gt;=14/24,B$9&lt;20/24)</formula>
    </cfRule>
    <cfRule type="expression" dxfId="1183" priority="50">
      <formula>AND(B$9&gt;=8/24,B$9&lt;14/24)</formula>
    </cfRule>
    <cfRule type="expression" dxfId="1182" priority="51">
      <formula>B$9&lt;8/24</formula>
    </cfRule>
  </conditionalFormatting>
  <conditionalFormatting sqref="B16:E16">
    <cfRule type="expression" dxfId="1181" priority="47">
      <formula>B16&gt;$AG16</formula>
    </cfRule>
  </conditionalFormatting>
  <conditionalFormatting sqref="X33:AF33">
    <cfRule type="expression" dxfId="1180" priority="42">
      <formula>X$9&gt;=20/24</formula>
    </cfRule>
    <cfRule type="expression" dxfId="1179" priority="43">
      <formula>AND(X$9&gt;=14/24,X$9&lt;20/24)</formula>
    </cfRule>
    <cfRule type="expression" dxfId="1178" priority="44">
      <formula>AND(X$9&gt;=8/24,X$9&lt;14/24)</formula>
    </cfRule>
    <cfRule type="expression" dxfId="1177" priority="45">
      <formula>X$9&lt;8/24</formula>
    </cfRule>
  </conditionalFormatting>
  <conditionalFormatting sqref="X33:AF33">
    <cfRule type="expression" dxfId="1176" priority="41">
      <formula>X33&gt;$AG33</formula>
    </cfRule>
  </conditionalFormatting>
  <conditionalFormatting sqref="A33">
    <cfRule type="expression" dxfId="1175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N33:W33">
    <cfRule type="expression" dxfId="1174" priority="36">
      <formula>N$9&gt;=20/24</formula>
    </cfRule>
    <cfRule type="expression" dxfId="1173" priority="37">
      <formula>AND(N$9&gt;=14/24,N$9&lt;20/24)</formula>
    </cfRule>
    <cfRule type="expression" dxfId="1172" priority="38">
      <formula>AND(N$9&gt;=8/24,N$9&lt;14/24)</formula>
    </cfRule>
    <cfRule type="expression" dxfId="1171" priority="39">
      <formula>N$9&lt;8/24</formula>
    </cfRule>
  </conditionalFormatting>
  <conditionalFormatting sqref="N33:W33">
    <cfRule type="expression" dxfId="1170" priority="35">
      <formula>N33&gt;$AG33</formula>
    </cfRule>
  </conditionalFormatting>
  <conditionalFormatting sqref="B33:M33">
    <cfRule type="expression" dxfId="1169" priority="31">
      <formula>B$9&gt;=20/24</formula>
    </cfRule>
    <cfRule type="expression" dxfId="1168" priority="32">
      <formula>AND(B$9&gt;=14/24,B$9&lt;20/24)</formula>
    </cfRule>
    <cfRule type="expression" dxfId="1167" priority="33">
      <formula>AND(B$9&gt;=8/24,B$9&lt;14/24)</formula>
    </cfRule>
    <cfRule type="expression" dxfId="1166" priority="34">
      <formula>B$9&lt;8/24</formula>
    </cfRule>
  </conditionalFormatting>
  <conditionalFormatting sqref="B33:M33">
    <cfRule type="expression" dxfId="1165" priority="30">
      <formula>B33&gt;$AG33</formula>
    </cfRule>
  </conditionalFormatting>
  <conditionalFormatting sqref="X44:AF44">
    <cfRule type="expression" dxfId="1164" priority="25">
      <formula>X$9&gt;=20/24</formula>
    </cfRule>
    <cfRule type="expression" dxfId="1163" priority="26">
      <formula>AND(X$9&gt;=14/24,X$9&lt;20/24)</formula>
    </cfRule>
    <cfRule type="expression" dxfId="1162" priority="27">
      <formula>AND(X$9&gt;=8/24,X$9&lt;14/24)</formula>
    </cfRule>
    <cfRule type="expression" dxfId="1161" priority="28">
      <formula>X$9&lt;8/24</formula>
    </cfRule>
  </conditionalFormatting>
  <conditionalFormatting sqref="X44:AF44">
    <cfRule type="expression" dxfId="1160" priority="24">
      <formula>X44&gt;$AG44</formula>
    </cfRule>
  </conditionalFormatting>
  <conditionalFormatting sqref="A44">
    <cfRule type="expression" dxfId="1159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N44:W44">
    <cfRule type="expression" dxfId="1158" priority="22">
      <formula>N44&gt;$AG44</formula>
    </cfRule>
  </conditionalFormatting>
  <conditionalFormatting sqref="N44:W44">
    <cfRule type="expression" dxfId="1157" priority="18">
      <formula>N$9&gt;=20/24</formula>
    </cfRule>
    <cfRule type="expression" dxfId="1156" priority="19">
      <formula>AND(N$9&gt;=14/24,N$9&lt;20/24)</formula>
    </cfRule>
    <cfRule type="expression" dxfId="1155" priority="20">
      <formula>AND(N$9&gt;=8/24,N$9&lt;14/24)</formula>
    </cfRule>
    <cfRule type="expression" dxfId="1154" priority="21">
      <formula>N$9&lt;8/24</formula>
    </cfRule>
  </conditionalFormatting>
  <conditionalFormatting sqref="B44:M44">
    <cfRule type="expression" dxfId="1153" priority="14">
      <formula>B$9&gt;=20/24</formula>
    </cfRule>
    <cfRule type="expression" dxfId="1152" priority="15">
      <formula>AND(B$9&gt;=14/24,B$9&lt;20/24)</formula>
    </cfRule>
    <cfRule type="expression" dxfId="1151" priority="16">
      <formula>AND(B$9&gt;=8/24,B$9&lt;14/24)</formula>
    </cfRule>
    <cfRule type="expression" dxfId="1150" priority="17">
      <formula>B$9&lt;8/24</formula>
    </cfRule>
  </conditionalFormatting>
  <conditionalFormatting sqref="B44:M44">
    <cfRule type="expression" dxfId="1149" priority="13">
      <formula>B44&gt;$AG44</formula>
    </cfRule>
  </conditionalFormatting>
  <conditionalFormatting sqref="B117">
    <cfRule type="expression" dxfId="1148" priority="1">
      <formula>B$9&gt;=20/24</formula>
    </cfRule>
    <cfRule type="expression" dxfId="1147" priority="2">
      <formula>AND(B$9&gt;=14/24,B$9&lt;20/24)</formula>
    </cfRule>
    <cfRule type="expression" dxfId="1146" priority="3">
      <formula>AND(B$9&gt;=8/24,B$9&lt;14/24)</formula>
    </cfRule>
    <cfRule type="expression" dxfId="1145" priority="4">
      <formula>B$9&lt;8/24</formula>
    </cfRule>
  </conditionalFormatting>
  <conditionalFormatting sqref="D117:AF117">
    <cfRule type="expression" dxfId="1144" priority="9">
      <formula>D$9&gt;=20/24</formula>
    </cfRule>
    <cfRule type="expression" dxfId="1143" priority="10">
      <formula>AND(D$9&gt;=14/24,D$9&lt;20/24)</formula>
    </cfRule>
    <cfRule type="expression" dxfId="1142" priority="11">
      <formula>AND(D$9&gt;=8/24,D$9&lt;14/24)</formula>
    </cfRule>
    <cfRule type="expression" dxfId="1141" priority="12">
      <formula>D$9&lt;8/24</formula>
    </cfRule>
  </conditionalFormatting>
  <conditionalFormatting sqref="C117">
    <cfRule type="expression" dxfId="1140" priority="5">
      <formula>C$9&gt;=20/24</formula>
    </cfRule>
    <cfRule type="expression" dxfId="1139" priority="6">
      <formula>AND(C$9&gt;=14/24,C$9&lt;20/24)</formula>
    </cfRule>
    <cfRule type="expression" dxfId="1138" priority="7">
      <formula>AND(C$9&gt;=8/24,C$9&lt;14/24)</formula>
    </cfRule>
    <cfRule type="expression" dxfId="113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5" id="{BC5D41AA-966A-4924-99DE-C36244B9516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6" id="{CACF81BC-2CBD-4605-B1F4-5D3D7E1540A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7" id="{FF9F4C0C-FBEB-41CD-BE83-5C6EB45445D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8" id="{77967CBF-2F57-4BE8-B1BB-9E87CADA992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3B7EEC3C-7C5C-4A08-8131-7A2B1149D22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2B4D2AF6-B9D9-45E2-93C7-530DBF3993B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57DBF2E6-A148-46F5-803A-46D7162ED59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B9D41A8D-411C-4B0E-874A-BD684C1E5F8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O28" sqref="O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1chaitra</vt:lpstr>
      <vt:lpstr>Sheet4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dcterms:created xsi:type="dcterms:W3CDTF">2023-02-13T13:26:45Z</dcterms:created>
  <dcterms:modified xsi:type="dcterms:W3CDTF">2023-10-31T18:20:56Z</dcterms:modified>
</cp:coreProperties>
</file>